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1\Documents\STAVBY, AKCE\Střecha č.p. 26\Příloha č. 1 - PD + VV\"/>
    </mc:Choice>
  </mc:AlternateContent>
  <xr:revisionPtr revIDLastSave="0" documentId="13_ncr:1_{231AF39C-4540-4F46-86FA-8E29BA27A4EF}" xr6:coauthVersionLast="47" xr6:coauthVersionMax="47" xr10:uidLastSave="{00000000-0000-0000-0000-000000000000}"/>
  <bookViews>
    <workbookView xWindow="915" yWindow="570" windowWidth="13050" windowHeight="1305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Stavba!#REF!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Pol'!$A$1:$U$230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72" i="12" l="1"/>
  <c r="E56" i="12"/>
  <c r="E55" i="12" s="1"/>
  <c r="Q55" i="12" l="1"/>
  <c r="G55" i="12"/>
  <c r="M55" i="12" s="1"/>
  <c r="O55" i="12"/>
  <c r="K55" i="12"/>
  <c r="I55" i="12"/>
  <c r="E205" i="12"/>
  <c r="Q205" i="12" s="1"/>
  <c r="Q224" i="12"/>
  <c r="E224" i="12"/>
  <c r="O224" i="12" s="1"/>
  <c r="K222" i="12"/>
  <c r="E222" i="12"/>
  <c r="I222" i="12" s="1"/>
  <c r="E220" i="12"/>
  <c r="Q220" i="12" s="1"/>
  <c r="E218" i="12"/>
  <c r="Q218" i="12" s="1"/>
  <c r="E215" i="12"/>
  <c r="O215" i="12" s="1"/>
  <c r="G224" i="12" l="1"/>
  <c r="M224" i="12" s="1"/>
  <c r="K205" i="12"/>
  <c r="I224" i="12"/>
  <c r="I218" i="12"/>
  <c r="G222" i="12"/>
  <c r="M222" i="12" s="1"/>
  <c r="Q222" i="12"/>
  <c r="K224" i="12"/>
  <c r="G205" i="12"/>
  <c r="M205" i="12" s="1"/>
  <c r="O205" i="12"/>
  <c r="O222" i="12"/>
  <c r="K218" i="12"/>
  <c r="I205" i="12"/>
  <c r="G215" i="12"/>
  <c r="M215" i="12" s="1"/>
  <c r="Q215" i="12"/>
  <c r="I215" i="12"/>
  <c r="O218" i="12"/>
  <c r="K215" i="12"/>
  <c r="G218" i="12"/>
  <c r="M218" i="12" s="1"/>
  <c r="K220" i="12"/>
  <c r="G220" i="12"/>
  <c r="M220" i="12" s="1"/>
  <c r="O220" i="12"/>
  <c r="I220" i="12"/>
  <c r="E213" i="12"/>
  <c r="K213" i="12" s="1"/>
  <c r="E211" i="12"/>
  <c r="Q211" i="12" s="1"/>
  <c r="E209" i="12"/>
  <c r="Q209" i="12" s="1"/>
  <c r="E207" i="12"/>
  <c r="I207" i="12" s="1"/>
  <c r="E203" i="12"/>
  <c r="Q203" i="12" s="1"/>
  <c r="E201" i="12"/>
  <c r="O201" i="12" s="1"/>
  <c r="E199" i="12"/>
  <c r="I199" i="12" s="1"/>
  <c r="E197" i="12"/>
  <c r="I197" i="12" s="1"/>
  <c r="E195" i="12"/>
  <c r="Q195" i="12" s="1"/>
  <c r="E193" i="12"/>
  <c r="K193" i="12" s="1"/>
  <c r="G201" i="12" l="1"/>
  <c r="M201" i="12" s="1"/>
  <c r="I201" i="12"/>
  <c r="K209" i="12"/>
  <c r="K207" i="12"/>
  <c r="I195" i="12"/>
  <c r="K199" i="12"/>
  <c r="Q201" i="12"/>
  <c r="I211" i="12"/>
  <c r="K195" i="12"/>
  <c r="I209" i="12"/>
  <c r="K211" i="12"/>
  <c r="O193" i="12"/>
  <c r="O213" i="12"/>
  <c r="Q193" i="12"/>
  <c r="O199" i="12"/>
  <c r="G203" i="12"/>
  <c r="M203" i="12" s="1"/>
  <c r="G213" i="12"/>
  <c r="M213" i="12" s="1"/>
  <c r="I193" i="12"/>
  <c r="O195" i="12"/>
  <c r="G199" i="12"/>
  <c r="M199" i="12" s="1"/>
  <c r="Q199" i="12"/>
  <c r="K201" i="12"/>
  <c r="I203" i="12"/>
  <c r="G207" i="12"/>
  <c r="M207" i="12" s="1"/>
  <c r="Q207" i="12"/>
  <c r="O211" i="12"/>
  <c r="I213" i="12"/>
  <c r="G193" i="12"/>
  <c r="O207" i="12"/>
  <c r="Q213" i="12"/>
  <c r="G195" i="12"/>
  <c r="M195" i="12" s="1"/>
  <c r="O203" i="12"/>
  <c r="G211" i="12"/>
  <c r="M211" i="12" s="1"/>
  <c r="K197" i="12"/>
  <c r="O197" i="12"/>
  <c r="G197" i="12"/>
  <c r="M197" i="12" s="1"/>
  <c r="Q197" i="12"/>
  <c r="G209" i="12"/>
  <c r="M209" i="12" s="1"/>
  <c r="O209" i="12"/>
  <c r="K203" i="12"/>
  <c r="E168" i="12"/>
  <c r="Q168" i="12" s="1"/>
  <c r="E170" i="12"/>
  <c r="Q191" i="12" l="1"/>
  <c r="O191" i="12"/>
  <c r="M193" i="12"/>
  <c r="G191" i="12"/>
  <c r="K168" i="12"/>
  <c r="O168" i="12"/>
  <c r="I168" i="12"/>
  <c r="G168" i="12"/>
  <c r="M168" i="12" s="1"/>
  <c r="E34" i="12"/>
  <c r="E32" i="12"/>
  <c r="E31" i="12" s="1"/>
  <c r="Q31" i="12" s="1"/>
  <c r="E29" i="12"/>
  <c r="E108" i="12"/>
  <c r="E111" i="12"/>
  <c r="E109" i="12" s="1"/>
  <c r="K109" i="12" s="1"/>
  <c r="E112" i="12"/>
  <c r="Q112" i="12" s="1"/>
  <c r="O31" i="12" l="1"/>
  <c r="G31" i="12"/>
  <c r="O109" i="12"/>
  <c r="G109" i="12"/>
  <c r="M109" i="12" s="1"/>
  <c r="I109" i="12"/>
  <c r="Q109" i="12"/>
  <c r="K112" i="12"/>
  <c r="G112" i="12"/>
  <c r="M112" i="12" s="1"/>
  <c r="O112" i="12"/>
  <c r="I112" i="12"/>
  <c r="E122" i="12"/>
  <c r="Q88" i="12"/>
  <c r="O88" i="12"/>
  <c r="G88" i="12"/>
  <c r="E106" i="12"/>
  <c r="Q106" i="12" s="1"/>
  <c r="E100" i="12"/>
  <c r="O100" i="12" s="1"/>
  <c r="E116" i="12"/>
  <c r="E115" i="12" s="1"/>
  <c r="E97" i="12"/>
  <c r="E98" i="12"/>
  <c r="Q98" i="12" s="1"/>
  <c r="E87" i="12"/>
  <c r="E92" i="12"/>
  <c r="E91" i="12" s="1"/>
  <c r="K91" i="12" s="1"/>
  <c r="K106" i="12" l="1"/>
  <c r="I106" i="12"/>
  <c r="O106" i="12"/>
  <c r="G106" i="12"/>
  <c r="M106" i="12" s="1"/>
  <c r="I100" i="12"/>
  <c r="K100" i="12"/>
  <c r="Q100" i="12"/>
  <c r="G100" i="12"/>
  <c r="M100" i="12" s="1"/>
  <c r="K98" i="12"/>
  <c r="G98" i="12"/>
  <c r="M98" i="12" s="1"/>
  <c r="O98" i="12"/>
  <c r="I98" i="12"/>
  <c r="G91" i="12"/>
  <c r="M91" i="12" s="1"/>
  <c r="O91" i="12"/>
  <c r="I91" i="12"/>
  <c r="Q91" i="12"/>
  <c r="E37" i="12"/>
  <c r="Q37" i="12" s="1"/>
  <c r="E35" i="12"/>
  <c r="Q35" i="12" s="1"/>
  <c r="E28" i="12"/>
  <c r="Q127" i="12"/>
  <c r="O127" i="12"/>
  <c r="K127" i="12"/>
  <c r="I127" i="12"/>
  <c r="G127" i="12"/>
  <c r="M127" i="12" s="1"/>
  <c r="E105" i="12"/>
  <c r="E104" i="12" s="1"/>
  <c r="K104" i="12" s="1"/>
  <c r="E103" i="12"/>
  <c r="E102" i="12" s="1"/>
  <c r="Q102" i="12" s="1"/>
  <c r="E96" i="12"/>
  <c r="Q96" i="12" s="1"/>
  <c r="E95" i="12"/>
  <c r="E93" i="12" s="1"/>
  <c r="E85" i="12"/>
  <c r="Q115" i="12"/>
  <c r="E121" i="12"/>
  <c r="Q121" i="12" s="1"/>
  <c r="E126" i="12"/>
  <c r="E125" i="12" s="1"/>
  <c r="E124" i="12"/>
  <c r="E123" i="12" s="1"/>
  <c r="E119" i="12"/>
  <c r="K119" i="12" s="1"/>
  <c r="E118" i="12"/>
  <c r="E117" i="12" s="1"/>
  <c r="Q83" i="12"/>
  <c r="O83" i="12"/>
  <c r="G83" i="12"/>
  <c r="E81" i="12"/>
  <c r="Q81" i="12" s="1"/>
  <c r="E39" i="12"/>
  <c r="Q39" i="12" s="1"/>
  <c r="E33" i="12"/>
  <c r="Q33" i="12" s="1"/>
  <c r="E189" i="12"/>
  <c r="E188" i="12"/>
  <c r="Q185" i="12"/>
  <c r="O185" i="12"/>
  <c r="K185" i="12"/>
  <c r="I185" i="12"/>
  <c r="G185" i="12"/>
  <c r="M185" i="12" s="1"/>
  <c r="I51" i="1" l="1"/>
  <c r="G37" i="12"/>
  <c r="O37" i="12"/>
  <c r="I119" i="12"/>
  <c r="K96" i="12"/>
  <c r="G35" i="12"/>
  <c r="O35" i="12"/>
  <c r="G119" i="12"/>
  <c r="M119" i="12" s="1"/>
  <c r="Q85" i="12"/>
  <c r="G85" i="12"/>
  <c r="M85" i="12" s="1"/>
  <c r="K85" i="12"/>
  <c r="I85" i="12"/>
  <c r="O85" i="12"/>
  <c r="O93" i="12"/>
  <c r="G93" i="12"/>
  <c r="M93" i="12" s="1"/>
  <c r="K93" i="12"/>
  <c r="Q93" i="12"/>
  <c r="I93" i="12"/>
  <c r="O119" i="12"/>
  <c r="K115" i="12"/>
  <c r="Q119" i="12"/>
  <c r="G96" i="12"/>
  <c r="M96" i="12" s="1"/>
  <c r="O96" i="12"/>
  <c r="I121" i="12"/>
  <c r="I96" i="12"/>
  <c r="G104" i="12"/>
  <c r="M104" i="12" s="1"/>
  <c r="O104" i="12"/>
  <c r="I104" i="12"/>
  <c r="Q104" i="12"/>
  <c r="K102" i="12"/>
  <c r="G102" i="12"/>
  <c r="M102" i="12" s="1"/>
  <c r="O102" i="12"/>
  <c r="I102" i="12"/>
  <c r="G115" i="12"/>
  <c r="M115" i="12" s="1"/>
  <c r="O115" i="12"/>
  <c r="I115" i="12"/>
  <c r="I117" i="12"/>
  <c r="Q117" i="12"/>
  <c r="G117" i="12"/>
  <c r="M117" i="12" s="1"/>
  <c r="K117" i="12"/>
  <c r="O117" i="12"/>
  <c r="O125" i="12"/>
  <c r="G125" i="12"/>
  <c r="M125" i="12" s="1"/>
  <c r="K125" i="12"/>
  <c r="Q125" i="12"/>
  <c r="I125" i="12"/>
  <c r="O123" i="12"/>
  <c r="G123" i="12"/>
  <c r="M123" i="12" s="1"/>
  <c r="K123" i="12"/>
  <c r="Q123" i="12"/>
  <c r="I123" i="12"/>
  <c r="K121" i="12"/>
  <c r="O121" i="12"/>
  <c r="G121" i="12"/>
  <c r="M121" i="12" s="1"/>
  <c r="K81" i="12"/>
  <c r="G81" i="12"/>
  <c r="M81" i="12" s="1"/>
  <c r="O81" i="12"/>
  <c r="I81" i="12"/>
  <c r="G39" i="12"/>
  <c r="O39" i="12"/>
  <c r="G33" i="12"/>
  <c r="O33" i="12"/>
  <c r="E190" i="12"/>
  <c r="E187" i="12" s="1"/>
  <c r="Q187" i="12" s="1"/>
  <c r="Q186" i="12" s="1"/>
  <c r="Q30" i="12"/>
  <c r="O30" i="12"/>
  <c r="G30" i="12"/>
  <c r="Q28" i="12"/>
  <c r="O28" i="12"/>
  <c r="K28" i="12"/>
  <c r="I28" i="12"/>
  <c r="I27" i="12" s="1"/>
  <c r="G28" i="12"/>
  <c r="M28" i="12" s="1"/>
  <c r="U187" i="12" l="1"/>
  <c r="U186" i="12" s="1"/>
  <c r="O187" i="12"/>
  <c r="O186" i="12" s="1"/>
  <c r="I187" i="12"/>
  <c r="I186" i="12" s="1"/>
  <c r="G187" i="12"/>
  <c r="M187" i="12" s="1"/>
  <c r="M186" i="12" s="1"/>
  <c r="K187" i="12"/>
  <c r="K186" i="12" s="1"/>
  <c r="O27" i="12"/>
  <c r="Q27" i="12"/>
  <c r="K27" i="12"/>
  <c r="M27" i="12"/>
  <c r="G27" i="12"/>
  <c r="G186" i="12" l="1"/>
  <c r="E144" i="12" l="1"/>
  <c r="Q144" i="12" s="1"/>
  <c r="E132" i="12"/>
  <c r="K132" i="12" s="1"/>
  <c r="E163" i="12"/>
  <c r="Q163" i="12" s="1"/>
  <c r="E162" i="12"/>
  <c r="E161" i="12" s="1"/>
  <c r="E165" i="12"/>
  <c r="K165" i="12" s="1"/>
  <c r="E141" i="12"/>
  <c r="Q141" i="12" s="1"/>
  <c r="E129" i="12"/>
  <c r="E179" i="12"/>
  <c r="E178" i="12"/>
  <c r="E175" i="12"/>
  <c r="E174" i="12"/>
  <c r="E42" i="12"/>
  <c r="E53" i="12"/>
  <c r="E52" i="12"/>
  <c r="E47" i="12"/>
  <c r="E74" i="12"/>
  <c r="E70" i="12"/>
  <c r="E68" i="12"/>
  <c r="E49" i="12"/>
  <c r="E67" i="12"/>
  <c r="E65" i="12"/>
  <c r="E59" i="12"/>
  <c r="E61" i="12"/>
  <c r="E63" i="12"/>
  <c r="E48" i="12"/>
  <c r="E79" i="12"/>
  <c r="E78" i="12"/>
  <c r="E183" i="12"/>
  <c r="E182" i="12"/>
  <c r="E25" i="12"/>
  <c r="E24" i="12"/>
  <c r="E21" i="12"/>
  <c r="E20" i="12"/>
  <c r="E18" i="12"/>
  <c r="E17" i="12" s="1"/>
  <c r="E15" i="12"/>
  <c r="E14" i="12"/>
  <c r="G165" i="12" l="1"/>
  <c r="M165" i="12" s="1"/>
  <c r="E176" i="12"/>
  <c r="E173" i="12" s="1"/>
  <c r="G173" i="12" s="1"/>
  <c r="M173" i="12" s="1"/>
  <c r="K144" i="12"/>
  <c r="I165" i="12"/>
  <c r="I144" i="12"/>
  <c r="G132" i="12"/>
  <c r="M132" i="12" s="1"/>
  <c r="O165" i="12"/>
  <c r="I163" i="12"/>
  <c r="I132" i="12"/>
  <c r="O144" i="12"/>
  <c r="O132" i="12"/>
  <c r="Q132" i="12"/>
  <c r="E180" i="12"/>
  <c r="E177" i="12" s="1"/>
  <c r="K177" i="12" s="1"/>
  <c r="Q165" i="12"/>
  <c r="K163" i="12"/>
  <c r="G144" i="12"/>
  <c r="M144" i="12" s="1"/>
  <c r="K161" i="12"/>
  <c r="Q161" i="12"/>
  <c r="I161" i="12"/>
  <c r="O161" i="12"/>
  <c r="G161" i="12"/>
  <c r="M161" i="12" s="1"/>
  <c r="K141" i="12"/>
  <c r="O163" i="12"/>
  <c r="G163" i="12"/>
  <c r="M163" i="12" s="1"/>
  <c r="G141" i="12"/>
  <c r="M141" i="12" s="1"/>
  <c r="O141" i="12"/>
  <c r="I141" i="12"/>
  <c r="E50" i="12"/>
  <c r="E45" i="12" s="1"/>
  <c r="E75" i="12"/>
  <c r="E57" i="12" s="1"/>
  <c r="I57" i="12" s="1"/>
  <c r="E54" i="12"/>
  <c r="E51" i="12" s="1"/>
  <c r="K51" i="12" s="1"/>
  <c r="O42" i="12"/>
  <c r="K42" i="12"/>
  <c r="I42" i="12"/>
  <c r="Q42" i="12"/>
  <c r="G42" i="12"/>
  <c r="E80" i="12"/>
  <c r="E76" i="12" s="1"/>
  <c r="E22" i="12"/>
  <c r="E19" i="12" s="1"/>
  <c r="E184" i="12"/>
  <c r="E181" i="12" s="1"/>
  <c r="O181" i="12" s="1"/>
  <c r="E16" i="12"/>
  <c r="E13" i="12" s="1"/>
  <c r="E26" i="12"/>
  <c r="E23" i="12" s="1"/>
  <c r="Q170" i="12"/>
  <c r="O170" i="12"/>
  <c r="K170" i="12"/>
  <c r="I170" i="12"/>
  <c r="G170" i="12"/>
  <c r="M170" i="12" s="1"/>
  <c r="K173" i="12" l="1"/>
  <c r="Q177" i="12"/>
  <c r="Q173" i="12"/>
  <c r="M42" i="12"/>
  <c r="G177" i="12"/>
  <c r="M177" i="12" s="1"/>
  <c r="I173" i="12"/>
  <c r="O177" i="12"/>
  <c r="O173" i="12"/>
  <c r="I177" i="12"/>
  <c r="O57" i="12"/>
  <c r="Q57" i="12"/>
  <c r="G57" i="12"/>
  <c r="M57" i="12" s="1"/>
  <c r="K57" i="12"/>
  <c r="G51" i="12"/>
  <c r="M51" i="12" s="1"/>
  <c r="I51" i="12"/>
  <c r="O51" i="12"/>
  <c r="Q51" i="12"/>
  <c r="O45" i="12"/>
  <c r="G45" i="12"/>
  <c r="M45" i="12" s="1"/>
  <c r="K45" i="12"/>
  <c r="I45" i="12"/>
  <c r="Q45" i="12"/>
  <c r="I181" i="12"/>
  <c r="Q181" i="12"/>
  <c r="G181" i="12"/>
  <c r="M181" i="12" s="1"/>
  <c r="K181" i="12"/>
  <c r="E11" i="12"/>
  <c r="E10" i="12"/>
  <c r="E12" i="12" l="1"/>
  <c r="E9" i="12" s="1"/>
  <c r="O9" i="12" s="1"/>
  <c r="AC227" i="12"/>
  <c r="F39" i="1" s="1"/>
  <c r="F40" i="1" s="1"/>
  <c r="G23" i="1" s="1"/>
  <c r="I9" i="12"/>
  <c r="K9" i="12"/>
  <c r="U9" i="12"/>
  <c r="G13" i="12"/>
  <c r="M13" i="12" s="1"/>
  <c r="I13" i="12"/>
  <c r="K13" i="12"/>
  <c r="O13" i="12"/>
  <c r="Q13" i="12"/>
  <c r="U13" i="12"/>
  <c r="G17" i="12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3" i="12"/>
  <c r="M23" i="12" s="1"/>
  <c r="I23" i="12"/>
  <c r="K23" i="12"/>
  <c r="O23" i="12"/>
  <c r="Q23" i="12"/>
  <c r="U23" i="12"/>
  <c r="U28" i="12"/>
  <c r="U30" i="12"/>
  <c r="G76" i="12"/>
  <c r="I76" i="12"/>
  <c r="I41" i="12" s="1"/>
  <c r="K76" i="12"/>
  <c r="K41" i="12" s="1"/>
  <c r="O76" i="12"/>
  <c r="Q76" i="12"/>
  <c r="Q41" i="12" s="1"/>
  <c r="U76" i="12"/>
  <c r="U83" i="12"/>
  <c r="U85" i="12"/>
  <c r="G129" i="12"/>
  <c r="I129" i="12"/>
  <c r="K129" i="12"/>
  <c r="O129" i="12"/>
  <c r="O128" i="12" s="1"/>
  <c r="Q129" i="12"/>
  <c r="Q128" i="12" s="1"/>
  <c r="U129" i="12"/>
  <c r="U190" i="12"/>
  <c r="M191" i="12"/>
  <c r="I191" i="12"/>
  <c r="K191" i="12"/>
  <c r="U191" i="12"/>
  <c r="I20" i="1"/>
  <c r="G27" i="1"/>
  <c r="J28" i="1"/>
  <c r="J26" i="1"/>
  <c r="G38" i="1"/>
  <c r="F38" i="1"/>
  <c r="J23" i="1"/>
  <c r="J24" i="1"/>
  <c r="J25" i="1"/>
  <c r="J27" i="1"/>
  <c r="E24" i="1"/>
  <c r="E26" i="1"/>
  <c r="M129" i="12" l="1"/>
  <c r="G128" i="12"/>
  <c r="Q9" i="12"/>
  <c r="Q8" i="12" s="1"/>
  <c r="G9" i="12"/>
  <c r="M9" i="12" s="1"/>
  <c r="M76" i="12"/>
  <c r="M41" i="12" s="1"/>
  <c r="G41" i="12"/>
  <c r="I49" i="1" s="1"/>
  <c r="O41" i="12"/>
  <c r="U27" i="12"/>
  <c r="U128" i="12"/>
  <c r="I128" i="12"/>
  <c r="Q84" i="12"/>
  <c r="K84" i="12"/>
  <c r="I48" i="1"/>
  <c r="I8" i="12"/>
  <c r="O8" i="12"/>
  <c r="I19" i="1"/>
  <c r="I53" i="1"/>
  <c r="I18" i="1" s="1"/>
  <c r="K128" i="12"/>
  <c r="M128" i="12"/>
  <c r="I52" i="1"/>
  <c r="O84" i="12"/>
  <c r="U84" i="12"/>
  <c r="I84" i="12"/>
  <c r="G84" i="12"/>
  <c r="U41" i="12"/>
  <c r="U8" i="12"/>
  <c r="K8" i="12"/>
  <c r="G24" i="1"/>
  <c r="M84" i="12"/>
  <c r="M17" i="12"/>
  <c r="G8" i="12" l="1"/>
  <c r="I47" i="1" s="1"/>
  <c r="I50" i="1"/>
  <c r="I17" i="1" s="1"/>
  <c r="AD227" i="12"/>
  <c r="G39" i="1" s="1"/>
  <c r="H39" i="1" s="1"/>
  <c r="H40" i="1" s="1"/>
  <c r="M8" i="12"/>
  <c r="G227" i="12" l="1"/>
  <c r="I39" i="1"/>
  <c r="I40" i="1" s="1"/>
  <c r="J39" i="1" s="1"/>
  <c r="J40" i="1" s="1"/>
  <c r="G40" i="1"/>
  <c r="G25" i="1" s="1"/>
  <c r="G26" i="1" s="1"/>
  <c r="I16" i="1"/>
  <c r="I21" i="1" s="1"/>
  <c r="I54" i="1"/>
  <c r="G28" i="1" l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<sst xmlns="http://schemas.openxmlformats.org/spreadsheetml/2006/main" count="432" uniqueCount="264">
  <si>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</si>
  <si>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</si>
  <si>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</si>
  <si>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</si>
  <si>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</si>
  <si>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</si>
  <si>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</si>
  <si>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</si>
  <si>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</si>
  <si>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</si>
  <si>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</si>
  <si>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</si>
  <si>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</si>
  <si>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</si>
  <si>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</si>
  <si>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</si>
  <si>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</si>
  <si>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</si>
  <si>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</si>
  <si>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</si>
  <si>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</si>
  <si>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</si>
  <si>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</si>
  <si>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</si>
  <si>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</si>
  <si>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</si>
  <si>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</si>
  <si>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</si>
  <si>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</si>
  <si>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</si>
  <si>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</si>
  <si>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</si>
  <si>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</si>
  <si>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</si>
  <si>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</si>
  <si>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</si>
  <si>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</si>
  <si>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</si>
  <si>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</si>
  <si>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</si>
  <si>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</si>
  <si>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</si>
  <si>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</si>
  <si>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</si>
  <si>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</si>
  <si>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</si>
  <si>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</si>
  <si>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</si>
  <si>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</si>
  <si>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94</t>
  </si>
  <si>
    <t>Lešení a stavební výtahy</t>
  </si>
  <si>
    <t>97</t>
  </si>
  <si>
    <t>762</t>
  </si>
  <si>
    <t>Konstrukce tesařské</t>
  </si>
  <si>
    <t>764</t>
  </si>
  <si>
    <t>Konstrukce klempířské</t>
  </si>
  <si>
    <t>765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</si>
  <si>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</si>
  <si>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</si>
  <si>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</si>
  <si>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</si>
  <si>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</si>
  <si>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</si>
  <si>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</si>
  <si>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</si>
  <si>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</si>
  <si>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</si>
  <si>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</si>
  <si>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</si>
  <si>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</si>
  <si>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</si>
  <si>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</si>
  <si>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</si>
  <si>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</si>
  <si>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</si>
  <si>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</si>
  <si>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</si>
  <si>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</si>
  <si>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</si>
  <si>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</si>
  <si>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</si>
  <si>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</si>
  <si>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</si>
  <si>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</si>
  <si>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</si>
  <si>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</si>
  <si>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</si>
  <si>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</si>
  <si>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</t>
  </si>
  <si>
    <t>POL2_0</t>
  </si>
  <si>
    <t>VV</t>
  </si>
  <si>
    <t>kus</t>
  </si>
  <si>
    <t>POL1_0</t>
  </si>
  <si>
    <t>POL3_0</t>
  </si>
  <si>
    <t>m2</t>
  </si>
  <si>
    <t/>
  </si>
  <si>
    <t>944944081R00</t>
  </si>
  <si>
    <t>t</t>
  </si>
  <si>
    <t>m3</t>
  </si>
  <si>
    <t>SUM</t>
  </si>
  <si>
    <t>END</t>
  </si>
  <si>
    <t>Město Přelouč</t>
  </si>
  <si>
    <t>Československé armáda 1665</t>
  </si>
  <si>
    <t>535 33 Přelouč</t>
  </si>
  <si>
    <t>002 74 101</t>
  </si>
  <si>
    <t>CZ00274101</t>
  </si>
  <si>
    <t>9,500*16,000</t>
  </si>
  <si>
    <t>9,500*16,500</t>
  </si>
  <si>
    <t>Montáž lešení řadového rámového lehkého pracovního s podlahami šířky do 0,9 m, výšky do 10 m</t>
  </si>
  <si>
    <t>specifikace</t>
  </si>
  <si>
    <t>střešní výlez musí být v barvě střešní krytiny - grafitová</t>
  </si>
  <si>
    <t>Demontáž lešení řadového rámového lehkého pracovního šířky do 0,9 m, výšky do 10 m</t>
  </si>
  <si>
    <t>Příplatek k ceně za první a každý další den použití lešení</t>
  </si>
  <si>
    <t>60,000*308,750</t>
  </si>
  <si>
    <t>Montáž ochranné sítě z textilie z umělých vláken</t>
  </si>
  <si>
    <t>9,500*16,000*1,100</t>
  </si>
  <si>
    <t>9,500*16,500*1,100</t>
  </si>
  <si>
    <t>Demontáž ochranné sítě z textilie z umělých vláken</t>
  </si>
  <si>
    <t>Nouzové zakrytí střechy plachtou</t>
  </si>
  <si>
    <t>11,400*15,515</t>
  </si>
  <si>
    <t>12,720*15,960</t>
  </si>
  <si>
    <t>Montáž střešních doplňků vláknocementové krytiny skládané střešních výlezů, plochy do 1,0 m2</t>
  </si>
  <si>
    <r>
      <t>Demontáž laťování střech sklonu do 60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 xml:space="preserve"> z latí průřezové plochy do 25 cm2, při osové vzdálenosti do 0,22 m</t>
    </r>
  </si>
  <si>
    <t>demontáž laťování po odstranění střešní krytiny</t>
  </si>
  <si>
    <r>
      <t>Montáž laťování střech jednoduchých sklonu do 60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 xml:space="preserve"> přo osové vzdálenosti latí do 360 mm</t>
    </r>
  </si>
  <si>
    <t xml:space="preserve">Latě smrkové rozměru 50/70 mm včetně impregnace </t>
  </si>
  <si>
    <r>
      <t>Montáž laťování střech jednoduchých sklonu do 60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 xml:space="preserve"> při osové vzdálenosti latí do 150 mm</t>
    </r>
  </si>
  <si>
    <t>Česká šablona Horal - rozteč latí 210 mm</t>
  </si>
  <si>
    <t>zdvojení laťování pod oplechování štítových zdí a výlezu na střechu</t>
  </si>
  <si>
    <t xml:space="preserve">zdvojené laťování na rozteč 105 mm pod oplechování štítových zdí </t>
  </si>
  <si>
    <t>zahuštění laťování u okapu</t>
  </si>
  <si>
    <t>Rhombus šablona - rozteč latí 186 mm</t>
  </si>
  <si>
    <t>(7,000*15,515)*(0,050*0,070)*1,100</t>
  </si>
  <si>
    <t>((11,400-0,500)/1,050)*5,000*15,515*(0,050*0,070)*1,100)</t>
  </si>
  <si>
    <t>((11,400-0,500)/1,050)*5,000*(1,000+1,200)*(0,050*0,070)*1,100</t>
  </si>
  <si>
    <t>((12,720-0,500)/1,116)*6,000*15,960*(0,050*0,070)*1,100)</t>
  </si>
  <si>
    <t>zdvojené laťování na rozteč 93 mm pod oplechování štítových zdí a výlezu na střechu</t>
  </si>
  <si>
    <t>((12,720-0,500)/1,116)*6,000*(1,000+1,200)*(0,050*0,070)*1,100</t>
  </si>
  <si>
    <t>((0,400*2)+0,600)*2,280</t>
  </si>
  <si>
    <t>((0,400*2)+0,600)/1,116*6*(0,050*0,070)*2,280*1,100</t>
  </si>
  <si>
    <t>(7,000*15,960)*(0,050*0,070)*1,100</t>
  </si>
  <si>
    <t>hřebenová lať</t>
  </si>
  <si>
    <t>15,960*(0,050*0,070)*1,100</t>
  </si>
  <si>
    <t>(11,400+12,720)*1,000</t>
  </si>
  <si>
    <t>(11,400+12,720)*1,200</t>
  </si>
  <si>
    <t>(11,400*((15,515-(1,000+1,200)))</t>
  </si>
  <si>
    <t>(12,720)*((15,960-(1,000+1,200)))</t>
  </si>
  <si>
    <t>Vyřezání otvorů v laťování průřezové plochy latí do 25 cm2, otvoru plochy do 1 m2</t>
  </si>
  <si>
    <t>vyřezání otvoru pro střešní výlez</t>
  </si>
  <si>
    <r>
      <t>Montáž pojistné hydroizolační fólie ve sklonu přes 20</t>
    </r>
    <r>
      <rPr>
        <sz val="8"/>
        <rFont val="Calibri"/>
        <family val="2"/>
        <charset val="238"/>
      </rPr>
      <t>°</t>
    </r>
    <r>
      <rPr>
        <sz val="8"/>
        <rFont val="Arial CE"/>
        <charset val="238"/>
      </rPr>
      <t xml:space="preserve"> s lepenými přesahy na krokve</t>
    </r>
  </si>
  <si>
    <t>Pojistně hydroizolační fólie DEKTEN PRO PLUS</t>
  </si>
  <si>
    <t>11,400*15,515*1,150</t>
  </si>
  <si>
    <t>12,720*15,960*1,150</t>
  </si>
  <si>
    <t>Výlez střešní hliníkový rozměru 600*600 mm</t>
  </si>
  <si>
    <r>
      <t>Montáž vláknocementové krytiny skládané sklonu střechy do 30</t>
    </r>
    <r>
      <rPr>
        <sz val="8"/>
        <rFont val="Calibri"/>
        <family val="2"/>
        <charset val="238"/>
      </rPr>
      <t>°,</t>
    </r>
    <r>
      <rPr>
        <sz val="8"/>
        <rFont val="Arial CE"/>
        <charset val="238"/>
      </rPr>
      <t xml:space="preserve"> jednoduché krytí, ze šablon, počet do 20 ks/m2</t>
    </r>
  </si>
  <si>
    <r>
      <t>Montáž vláknocementové krytiny skládané sklonu střechy do 30</t>
    </r>
    <r>
      <rPr>
        <sz val="8"/>
        <rFont val="Calibri"/>
        <family val="2"/>
        <charset val="238"/>
      </rPr>
      <t>°,</t>
    </r>
    <r>
      <rPr>
        <sz val="8"/>
        <rFont val="Arial CE"/>
        <charset val="238"/>
      </rPr>
      <t xml:space="preserve"> jednoduché krytí, ze šablon, počet do 10 ks/m2</t>
    </r>
  </si>
  <si>
    <r>
      <t>Česká šablona - Horal - 31</t>
    </r>
    <r>
      <rPr>
        <sz val="8"/>
        <color indexed="17"/>
        <rFont val="Calibri"/>
        <family val="2"/>
        <charset val="238"/>
      </rPr>
      <t>°</t>
    </r>
  </si>
  <si>
    <r>
      <t>Příplatek k cenám za sklon přes 30</t>
    </r>
    <r>
      <rPr>
        <sz val="8"/>
        <rFont val="Calibri"/>
        <family val="2"/>
        <charset val="238"/>
      </rPr>
      <t>° na laťování</t>
    </r>
  </si>
  <si>
    <t>15,500+16,000</t>
  </si>
  <si>
    <r>
      <t>Montáž vláknocementové krytiny skládané sklonu střechy do 30</t>
    </r>
    <r>
      <rPr>
        <sz val="8"/>
        <rFont val="Calibri"/>
        <family val="2"/>
        <charset val="238"/>
      </rPr>
      <t>°,</t>
    </r>
    <r>
      <rPr>
        <sz val="8"/>
        <rFont val="Arial CE"/>
        <charset val="238"/>
      </rPr>
      <t xml:space="preserve"> okapové hrany, krytí jednoduché</t>
    </r>
  </si>
  <si>
    <r>
      <t>Montáž vláknocementové krytiny skládané sklonu střechy do 30</t>
    </r>
    <r>
      <rPr>
        <sz val="8"/>
        <rFont val="Calibri"/>
        <family val="2"/>
        <charset val="238"/>
      </rPr>
      <t>°,</t>
    </r>
    <r>
      <rPr>
        <sz val="8"/>
        <rFont val="Arial CE"/>
        <charset val="238"/>
      </rPr>
      <t xml:space="preserve"> hřebene z hřebenáčů</t>
    </r>
  </si>
  <si>
    <t>Rhombus šablona - dvorní strana budovy, výměra dle propočtu Cembrit a.s.</t>
  </si>
  <si>
    <t>Česká šablona - Horal - uliční strana budovy, výměra dle propočtu Cembrit a.s.</t>
  </si>
  <si>
    <t>Rhombus šablona - barva grafitová</t>
  </si>
  <si>
    <t>lemování okapu - 30 ks</t>
  </si>
  <si>
    <t>prořez krytiny 4% - 75 ks</t>
  </si>
  <si>
    <t>hřebíky pozinkované délka 37 mm - 3 krabice</t>
  </si>
  <si>
    <t>vichrové spony pozinkované délka 29 mm - 1 krabice</t>
  </si>
  <si>
    <t>větrací hlavice Oriko/CV100 - 13 ks</t>
  </si>
  <si>
    <t>balné - rozbalená paleta - 1 ks</t>
  </si>
  <si>
    <t>Česká šablona - Horal - barva grafitová</t>
  </si>
  <si>
    <t>počet kusů krytiny - 1707 ks</t>
  </si>
  <si>
    <t>počet kusů krytiny - 1834 ks</t>
  </si>
  <si>
    <t>dle propočtu Cembrit a.s. - 169,000</t>
  </si>
  <si>
    <t>dle propočtu Cembruiit a.s. - 193,000</t>
  </si>
  <si>
    <t>lemování nároží a hřebene - 13 ks</t>
  </si>
  <si>
    <t>prořez krytiny 4% - 70 ks</t>
  </si>
  <si>
    <t>vichrové spony pozinkované délka 29 mm - 2 krabice</t>
  </si>
  <si>
    <t>ukončení hřebenáče 170*230 mm - 2 ks</t>
  </si>
  <si>
    <t>větrací pás 180/60 mm - 16 ks</t>
  </si>
  <si>
    <t>příchytka hřebenáče 155/19 mm - 1 krabice</t>
  </si>
  <si>
    <t>držák hřebenových a nárožních latí - 16 ks</t>
  </si>
  <si>
    <t>ochranný pás proti ptákům - 4 ks</t>
  </si>
  <si>
    <t>větrací hlavice Oriko/CV100 - 16 ks</t>
  </si>
  <si>
    <t>Přesun sutě</t>
  </si>
  <si>
    <t>Vnitrostaveništní doprava suti a vybouraných hmot vodorovně do 50 m a svisle ručně pro budovy výšky do 15 m</t>
  </si>
  <si>
    <t>Odvoz suti a vybouraných hmot na skládku se složením, na vzdálenost do 1 km</t>
  </si>
  <si>
    <t>Příplatek k ceně za každý další i započatý i započatý 1 km přes 1 km</t>
  </si>
  <si>
    <t xml:space="preserve">Poplatek za uložení stavebního odpadu na skládce (skládkovné) dřevěného  </t>
  </si>
  <si>
    <t>Konstrukce zámečnické</t>
  </si>
  <si>
    <t>Demontáž krytin střech z plechů šroubovaných</t>
  </si>
  <si>
    <t>Konstrukce pokrývačské</t>
  </si>
  <si>
    <t>R pol.</t>
  </si>
  <si>
    <t xml:space="preserve">Ruční naložení demontované střešní krytiny z profilovaných plechů na dopravní prostředek, odvoz na skládku objednatele do vzdálenosti 2 km od stavby a ruční složení na skládce objednatele </t>
  </si>
  <si>
    <t>Přesun hmot pro krytiny skládané, vodorovná vzdálenost do 50 m, v objkektech výšky do 24 m</t>
  </si>
  <si>
    <t>Přesun hmot pro konstrukce tesařské, vodorovná vzdálenost do 50 m, v objektech výšky do 24 m</t>
  </si>
  <si>
    <t>Oplechování střešních prvků z pozinkovaného plechu s povrchovou úpravou v barvě střešní krytiny  (grafitová) - okapu okapovým plechem rš 500 mm</t>
  </si>
  <si>
    <t>15,515+15,960</t>
  </si>
  <si>
    <t>Oplechování střešních prvků z pozinkovaného plechu s povrchovou úpravou v barvě střešní krytiny  (grafitová) - střešní výlez rozměru 600 x 600 mm, střechy s krytinou skládanou</t>
  </si>
  <si>
    <t>Žlab nadokapní z pozinkovabého plechu v barvě střešní krytiny (grafitová) oblého tvaru, včetně háků, čel a hrdel rš 670 mm</t>
  </si>
  <si>
    <t>Svod z pozinkovaného plechu s upraveným povrchem v barvě střešní krytiny (grafitová) včetně objímek, kolen a odskoků kruhový, průměru 120 mm</t>
  </si>
  <si>
    <t>9,500 *2,000</t>
  </si>
  <si>
    <t>Demontáž klempířských konstrukcí závětrné lišty do suti</t>
  </si>
  <si>
    <t>Demontáž klempířských konstrukcí střešního výlezu do suti</t>
  </si>
  <si>
    <t>Demontáž klempířských konstrukcí žlabu nástřešního do suti</t>
  </si>
  <si>
    <t>Demontáž klempířských konstrukcí svodu do suti</t>
  </si>
  <si>
    <t>9,500*2,000</t>
  </si>
  <si>
    <t>Přesun hmot pro konstrukce klempířské vodorovná vzdálenost do 50 m, v objektech výšky do 24 m</t>
  </si>
  <si>
    <t xml:space="preserve">Poplatek za uložení stavebního odpadu na skládce (skládkovné) kovového (demontované klempířské konstrukce)  </t>
  </si>
  <si>
    <t>Konstrukxce pokrývačské</t>
  </si>
  <si>
    <t>767</t>
  </si>
  <si>
    <t>Konstrukxce zámečnické</t>
  </si>
  <si>
    <t>Lemování zdí z pozinkovaného plechu s povrchovou úpravou v barvě střešní krytiny (grafitová) boční, s krytinou skládanou, rš 400 mm</t>
  </si>
  <si>
    <t>(12,720*2)+2,000+0,400</t>
  </si>
  <si>
    <t>Demontáž klempířských konstrukcí podkladního plechu do suti</t>
  </si>
  <si>
    <t>podkladní plech nástřešního žlabu</t>
  </si>
  <si>
    <t>okapového plechu nástřešního žlabu</t>
  </si>
  <si>
    <t>Demontáž klempířských konstrukcí lemování zdí do suti</t>
  </si>
  <si>
    <t>11,400+9,000</t>
  </si>
  <si>
    <t>Oplechování střešních prvků z pozinkovaného plechu s povrchovou úpravou v barvě střešní krytiny  (grafitová) - štítu závětrnou lištou rš 500 mm</t>
  </si>
  <si>
    <t>(12,720*2)+0,300+2,000+0,400</t>
  </si>
  <si>
    <t>Demontáž klempířských konstrukcí sněhového zachytávače do suti</t>
  </si>
  <si>
    <t>Demontáž klempířských konstrukcí okapového plechu do suti, v krytině skládané</t>
  </si>
  <si>
    <t>Podkladní plech z pozinkovaného plechu s povrchovou úpravou rš 200 mm</t>
  </si>
  <si>
    <t>Napojení na stávající klempířské konstrukce délka spoje přes 0,5 m</t>
  </si>
  <si>
    <t>napojení lemování zdi na stávající oplechování požární zdi u čp. 25</t>
  </si>
  <si>
    <t>připojovací plechová lišta pro přichycení okapového plechu</t>
  </si>
  <si>
    <t>krycí lišta lemování u čp. 27</t>
  </si>
  <si>
    <t>Dilatační lišta z pozinkovaného plechu s povrchovou úpravou připojovací, včetně tmelení, rš 120 mm</t>
  </si>
  <si>
    <t>Podkladní plech z pozinkovaného plechu s povrchovou úpravou rš 150 mm</t>
  </si>
  <si>
    <t>připojovací plechová lišta pro přichycení závětrné lišty</t>
  </si>
  <si>
    <t>2,670+2,660+0,710</t>
  </si>
  <si>
    <t>2,670+0,710</t>
  </si>
  <si>
    <t>(2,670+0,710)*12</t>
  </si>
  <si>
    <t>držák hromosvodu pod hřebenáč 300-110/25 mm - 12 ks</t>
  </si>
  <si>
    <t>hřebenáč kónický 480*230 mm - 40 ks</t>
  </si>
  <si>
    <t>Elektromontáže - hromosvod</t>
  </si>
  <si>
    <t>Demontáž jímací tyče</t>
  </si>
  <si>
    <t>Původní hromosvod bude demontován a bude provedena montáž nového hromosvodu včetně revize</t>
  </si>
  <si>
    <t>Demontáž držáku jímací tyče</t>
  </si>
  <si>
    <t>(15,515+15,960)/2+(2*13,000)+(2*10,500)</t>
  </si>
  <si>
    <t>Demontáž podpěr vedení</t>
  </si>
  <si>
    <t>D+M jímací tyč JR1,5 s rovným koncem, 1,5 m</t>
  </si>
  <si>
    <t>D+M ochranná stříška OSH D20 mm, horní</t>
  </si>
  <si>
    <t>D+M ochranná stříška OSH D20 mm, dolní</t>
  </si>
  <si>
    <t xml:space="preserve">Demontáž ocelového vodiče </t>
  </si>
  <si>
    <t xml:space="preserve">D+M ocelový vodič pozinkovaný FeZn-D8 (0,4 kg/m), pevně  </t>
  </si>
  <si>
    <t>D+M držáku hromosvodu pod hřebenáče 300-110/25 mm</t>
  </si>
  <si>
    <t>D+M svorka hromosvodní uzemňovací SS spojovací</t>
  </si>
  <si>
    <t>přichycení lana k závětrné liště</t>
  </si>
  <si>
    <t>D+M svorka okapová SO, velká</t>
  </si>
  <si>
    <t>D+M štítky označovací (číslo 1 + číslo 2)</t>
  </si>
  <si>
    <t>D+M svorka zkušebni SZ</t>
  </si>
  <si>
    <t>Revizní zpráva</t>
  </si>
  <si>
    <t>soubor</t>
  </si>
  <si>
    <t>D+M svorka k jímací tyči , SJ 01</t>
  </si>
  <si>
    <t>D+M držák jímací tyče na hřeben střechy DJ horní , PV 15</t>
  </si>
  <si>
    <t>Montáž kontralatí</t>
  </si>
  <si>
    <t>17*(11,400+12,720)</t>
  </si>
  <si>
    <t>kontralatě</t>
  </si>
  <si>
    <t>17*(11,400*12,720)*(0,050*0,070)*1,100</t>
  </si>
  <si>
    <t>součást dodávky a montáže střešní krytiny - 12 ks</t>
  </si>
  <si>
    <t>Spojovací prostředky laťování hřebíky</t>
  </si>
  <si>
    <t>"Oprava střechy a krovu objektu č.p. 26"- STŘECHA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</si>
</sst>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name val="Calibri"/>
      <family val="2"/>
      <charset val="238"/>
    </font>
    <font>
      <sz val="8"/>
      <color indexed="17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5" borderId="37" xfId="0" applyNumberFormat="1" applyFont="1" applyFill="1" applyBorder="1" applyAlignment="1">
      <alignment horizontal="center"/>
    </xf>
    <xf numFmtId="4" fontId="7" fillId="5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9" fillId="0" borderId="0" xfId="0" applyFont="1" applyAlignment="1">
      <alignment wrapText="1"/>
    </xf>
    <xf numFmtId="0" fontId="0" fillId="3" borderId="48" xfId="0" applyFill="1" applyBorder="1" applyAlignment="1">
      <alignment wrapText="1"/>
    </xf>
    <xf numFmtId="0" fontId="0" fillId="3" borderId="10" xfId="0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8" fillId="0" borderId="33" xfId="0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49" xfId="0" applyFill="1" applyBorder="1" applyAlignment="1">
      <alignment wrapTex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Font="1" applyBorder="1" applyAlignment="1">
      <alignment horizontal="left" vertical="top" wrapText="1"/>
    </xf>
    <xf numFmtId="0" fontId="16" fillId="0" borderId="10" xfId="0" applyFont="1" applyBorder="1" applyAlignment="1">
      <alignment vertical="top"/>
    </xf>
    <xf numFmtId="4" fontId="17" fillId="0" borderId="37" xfId="0" applyNumberFormat="1" applyFont="1" applyBorder="1" applyAlignment="1">
      <alignment vertical="top" wrapText="1" shrinkToFit="1"/>
    </xf>
    <xf numFmtId="164" fontId="18" fillId="0" borderId="37" xfId="0" applyNumberFormat="1" applyFont="1" applyBorder="1" applyAlignment="1">
      <alignment vertical="top" wrapText="1" shrinkToFit="1"/>
    </xf>
    <xf numFmtId="0" fontId="18" fillId="0" borderId="37" xfId="0" quotePrefix="1" applyFont="1" applyBorder="1" applyAlignment="1">
      <alignment horizontal="left" vertical="top" wrapText="1"/>
    </xf>
    <xf numFmtId="0" fontId="18" fillId="0" borderId="37" xfId="0" applyFont="1" applyBorder="1" applyAlignment="1">
      <alignment horizontal="center" vertical="top" wrapText="1" shrinkToFit="1"/>
    </xf>
    <xf numFmtId="0" fontId="16" fillId="0" borderId="26" xfId="0" applyFont="1" applyBorder="1" applyAlignment="1">
      <alignment horizontal="left" vertical="top"/>
    </xf>
    <xf numFmtId="0" fontId="16" fillId="0" borderId="50" xfId="0" applyFont="1" applyBorder="1" applyAlignment="1">
      <alignment vertical="top"/>
    </xf>
    <xf numFmtId="0" fontId="16" fillId="0" borderId="50" xfId="0" applyFont="1" applyBorder="1" applyAlignment="1">
      <alignment horizontal="left" vertical="top"/>
    </xf>
    <xf numFmtId="0" fontId="16" fillId="0" borderId="47" xfId="0" applyFont="1" applyBorder="1" applyAlignment="1">
      <alignment horizontal="left" vertical="top" wrapText="1"/>
    </xf>
    <xf numFmtId="0" fontId="16" fillId="0" borderId="47" xfId="0" applyFont="1" applyBorder="1" applyAlignment="1">
      <alignment horizontal="center" vertical="top" shrinkToFit="1"/>
    </xf>
    <xf numFmtId="164" fontId="16" fillId="0" borderId="47" xfId="0" applyNumberFormat="1" applyFont="1" applyBorder="1" applyAlignment="1">
      <alignment vertical="top" shrinkToFit="1"/>
    </xf>
    <xf numFmtId="4" fontId="16" fillId="4" borderId="47" xfId="0" applyNumberFormat="1" applyFont="1" applyFill="1" applyBorder="1" applyAlignment="1" applyProtection="1">
      <alignment vertical="top" shrinkToFit="1"/>
      <protection locked="0"/>
    </xf>
    <xf numFmtId="4" fontId="16" fillId="0" borderId="47" xfId="0" applyNumberFormat="1" applyFont="1" applyBorder="1" applyAlignment="1">
      <alignment vertical="top" shrinkToFit="1"/>
    </xf>
    <xf numFmtId="0" fontId="16" fillId="0" borderId="37" xfId="0" applyFont="1" applyBorder="1" applyAlignment="1">
      <alignment vertical="top"/>
    </xf>
    <xf numFmtId="0" fontId="16" fillId="0" borderId="33" xfId="0" quotePrefix="1" applyFont="1" applyBorder="1" applyAlignment="1">
      <alignment horizontal="left" vertical="top" wrapText="1"/>
    </xf>
    <xf numFmtId="0" fontId="16" fillId="0" borderId="33" xfId="0" applyFont="1" applyBorder="1" applyAlignment="1">
      <alignment horizontal="center" vertical="top" wrapText="1" shrinkToFit="1"/>
    </xf>
    <xf numFmtId="164" fontId="16" fillId="0" borderId="33" xfId="0" applyNumberFormat="1" applyFont="1" applyBorder="1" applyAlignment="1">
      <alignment vertical="top" wrapText="1" shrinkToFi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17" fillId="0" borderId="26" xfId="0" applyFont="1" applyBorder="1" applyAlignment="1">
      <alignment vertical="top" wrapText="1" shrinkToFit="1"/>
    </xf>
    <xf numFmtId="164" fontId="17" fillId="0" borderId="26" xfId="0" applyNumberFormat="1" applyFont="1" applyBorder="1" applyAlignment="1">
      <alignment vertical="top" wrapText="1" shrinkToFit="1"/>
    </xf>
    <xf numFmtId="4" fontId="17" fillId="0" borderId="26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wrapText="1" shrinkToFit="1"/>
    </xf>
    <xf numFmtId="0" fontId="0" fillId="0" borderId="26" xfId="0" applyBorder="1"/>
    <xf numFmtId="49" fontId="0" fillId="0" borderId="26" xfId="0" applyNumberFormat="1" applyBorder="1"/>
    <xf numFmtId="0" fontId="0" fillId="0" borderId="26" xfId="0" applyBorder="1" applyAlignment="1">
      <alignment horizontal="center"/>
    </xf>
    <xf numFmtId="0" fontId="0" fillId="0" borderId="33" xfId="0" applyBorder="1"/>
    <xf numFmtId="0" fontId="0" fillId="0" borderId="10" xfId="0" applyBorder="1"/>
    <xf numFmtId="49" fontId="0" fillId="0" borderId="37" xfId="0" applyNumberFormat="1" applyBorder="1"/>
    <xf numFmtId="0" fontId="0" fillId="0" borderId="37" xfId="0" applyBorder="1"/>
    <xf numFmtId="0" fontId="18" fillId="0" borderId="26" xfId="0" applyFont="1" applyBorder="1" applyAlignment="1">
      <alignment horizontal="center" vertical="top" wrapText="1" shrinkToFit="1"/>
    </xf>
    <xf numFmtId="164" fontId="18" fillId="0" borderId="26" xfId="0" applyNumberFormat="1" applyFont="1" applyBorder="1" applyAlignment="1">
      <alignment vertical="top" wrapText="1" shrinkToFit="1"/>
    </xf>
    <xf numFmtId="49" fontId="0" fillId="0" borderId="10" xfId="0" applyNumberFormat="1" applyBorder="1"/>
    <xf numFmtId="0" fontId="18" fillId="0" borderId="10" xfId="0" applyFont="1" applyBorder="1" applyAlignment="1">
      <alignment horizontal="center" vertical="top" wrapText="1" shrinkToFit="1"/>
    </xf>
    <xf numFmtId="0" fontId="16" fillId="0" borderId="26" xfId="0" applyFont="1" applyBorder="1" applyAlignment="1">
      <alignment horizontal="center" vertical="top" wrapText="1" shrinkToFit="1"/>
    </xf>
    <xf numFmtId="164" fontId="16" fillId="0" borderId="0" xfId="0" applyNumberFormat="1" applyFont="1"/>
    <xf numFmtId="165" fontId="18" fillId="0" borderId="37" xfId="0" quotePrefix="1" applyNumberFormat="1" applyFont="1" applyBorder="1" applyAlignment="1">
      <alignment horizontal="left" vertical="top" wrapText="1"/>
    </xf>
    <xf numFmtId="4" fontId="16" fillId="0" borderId="34" xfId="0" applyNumberFormat="1" applyFont="1" applyBorder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16" fillId="0" borderId="0" xfId="0" applyNumberFormat="1" applyFont="1" applyAlignment="1">
      <alignment vertical="top" shrinkToFit="1"/>
    </xf>
    <xf numFmtId="0" fontId="16" fillId="0" borderId="36" xfId="0" applyFont="1" applyBorder="1" applyAlignment="1">
      <alignment horizontal="left" vertical="top"/>
    </xf>
    <xf numFmtId="0" fontId="16" fillId="0" borderId="36" xfId="0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shrinkToFit="1"/>
    </xf>
    <xf numFmtId="4" fontId="16" fillId="4" borderId="36" xfId="0" applyNumberFormat="1" applyFont="1" applyFill="1" applyBorder="1" applyAlignment="1" applyProtection="1">
      <alignment vertical="top" shrinkToFit="1"/>
      <protection locked="0"/>
    </xf>
    <xf numFmtId="164" fontId="16" fillId="0" borderId="36" xfId="0" applyNumberFormat="1" applyFont="1" applyBorder="1" applyAlignment="1">
      <alignment vertical="top" shrinkToFit="1"/>
    </xf>
    <xf numFmtId="164" fontId="16" fillId="0" borderId="49" xfId="0" applyNumberFormat="1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0" fontId="16" fillId="0" borderId="26" xfId="0" applyFont="1" applyBorder="1"/>
    <xf numFmtId="0" fontId="16" fillId="0" borderId="26" xfId="0" applyFont="1" applyBorder="1" applyAlignment="1">
      <alignment horizontal="left" vertical="top" wrapText="1"/>
    </xf>
    <xf numFmtId="0" fontId="16" fillId="0" borderId="26" xfId="0" applyFont="1" applyBorder="1" applyAlignment="1">
      <alignment horizontal="center" vertical="top" shrinkToFit="1"/>
    </xf>
    <xf numFmtId="164" fontId="16" fillId="0" borderId="26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 applyProtection="1">
      <alignment vertical="top" shrinkToFit="1"/>
      <protection locked="0"/>
    </xf>
    <xf numFmtId="4" fontId="16" fillId="4" borderId="10" xfId="0" applyNumberFormat="1" applyFont="1" applyFill="1" applyBorder="1" applyAlignment="1" applyProtection="1">
      <alignment vertical="top" shrinkToFit="1"/>
      <protection locked="0"/>
    </xf>
    <xf numFmtId="4" fontId="16" fillId="4" borderId="6" xfId="0" applyNumberFormat="1" applyFont="1" applyFill="1" applyBorder="1" applyAlignment="1" applyProtection="1">
      <alignment vertical="top" shrinkToFit="1"/>
      <protection locked="0"/>
    </xf>
    <xf numFmtId="4" fontId="16" fillId="0" borderId="6" xfId="0" applyNumberFormat="1" applyFont="1" applyBorder="1" applyAlignment="1">
      <alignment vertical="top" shrinkToFit="1"/>
    </xf>
    <xf numFmtId="164" fontId="16" fillId="0" borderId="10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 applyProtection="1">
      <alignment vertical="top" shrinkToFit="1"/>
      <protection locked="0"/>
    </xf>
    <xf numFmtId="0" fontId="16" fillId="0" borderId="37" xfId="0" applyFont="1" applyBorder="1" applyAlignment="1">
      <alignment horizontal="left" vertical="top"/>
    </xf>
    <xf numFmtId="0" fontId="16" fillId="0" borderId="26" xfId="0" quotePrefix="1" applyFont="1" applyBorder="1" applyAlignment="1">
      <alignment horizontal="left" vertical="top" wrapText="1"/>
    </xf>
    <xf numFmtId="165" fontId="18" fillId="0" borderId="33" xfId="0" quotePrefix="1" applyNumberFormat="1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/>
    </xf>
    <xf numFmtId="0" fontId="18" fillId="0" borderId="10" xfId="0" quotePrefix="1" applyFont="1" applyBorder="1" applyAlignment="1">
      <alignment horizontal="left" vertical="top" wrapText="1"/>
    </xf>
    <xf numFmtId="164" fontId="18" fillId="0" borderId="10" xfId="0" applyNumberFormat="1" applyFont="1" applyBorder="1" applyAlignment="1">
      <alignment vertical="top" wrapText="1" shrinkToFit="1"/>
    </xf>
    <xf numFmtId="165" fontId="16" fillId="0" borderId="36" xfId="0" quotePrefix="1" applyNumberFormat="1" applyFont="1" applyBorder="1" applyAlignment="1">
      <alignment horizontal="left" vertical="top" wrapText="1"/>
    </xf>
    <xf numFmtId="165" fontId="16" fillId="0" borderId="26" xfId="0" quotePrefix="1" applyNumberFormat="1" applyFont="1" applyBorder="1" applyAlignment="1">
      <alignment horizontal="left" vertical="top" wrapText="1"/>
    </xf>
    <xf numFmtId="0" fontId="16" fillId="0" borderId="36" xfId="0" applyFont="1" applyBorder="1" applyAlignment="1">
      <alignment horizontal="center" vertical="top" wrapText="1" shrinkToFit="1"/>
    </xf>
    <xf numFmtId="164" fontId="16" fillId="0" borderId="36" xfId="0" applyNumberFormat="1" applyFont="1" applyBorder="1" applyAlignment="1">
      <alignment vertical="top" wrapText="1" shrinkToFit="1"/>
    </xf>
    <xf numFmtId="164" fontId="16" fillId="0" borderId="26" xfId="0" applyNumberFormat="1" applyFont="1" applyBorder="1" applyAlignment="1">
      <alignment vertical="top" wrapText="1" shrinkToFit="1"/>
    </xf>
    <xf numFmtId="0" fontId="16" fillId="0" borderId="49" xfId="0" applyFont="1" applyBorder="1" applyAlignment="1">
      <alignment horizontal="left" vertical="top"/>
    </xf>
    <xf numFmtId="0" fontId="0" fillId="3" borderId="10" xfId="0" applyFill="1" applyBorder="1" applyAlignment="1">
      <alignment horizontal="left" vertical="top"/>
    </xf>
    <xf numFmtId="0" fontId="17" fillId="0" borderId="10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164" fontId="16" fillId="0" borderId="37" xfId="0" applyNumberFormat="1" applyFont="1" applyBorder="1" applyAlignment="1">
      <alignment vertical="top" shrinkToFit="1"/>
    </xf>
    <xf numFmtId="0" fontId="0" fillId="3" borderId="47" xfId="0" applyFill="1" applyBorder="1"/>
    <xf numFmtId="49" fontId="0" fillId="3" borderId="47" xfId="0" applyNumberFormat="1" applyFill="1" applyBorder="1"/>
    <xf numFmtId="0" fontId="0" fillId="3" borderId="47" xfId="0" applyFill="1" applyBorder="1" applyAlignment="1">
      <alignment horizontal="center"/>
    </xf>
    <xf numFmtId="0" fontId="0" fillId="3" borderId="50" xfId="0" applyFill="1" applyBorder="1"/>
    <xf numFmtId="0" fontId="0" fillId="3" borderId="47" xfId="0" applyFill="1" applyBorder="1" applyAlignment="1">
      <alignment wrapText="1"/>
    </xf>
    <xf numFmtId="4" fontId="16" fillId="0" borderId="37" xfId="0" applyNumberFormat="1" applyFont="1" applyBorder="1" applyAlignment="1" applyProtection="1">
      <alignment vertical="top" shrinkToFit="1"/>
      <protection locked="0"/>
    </xf>
    <xf numFmtId="4" fontId="16" fillId="4" borderId="37" xfId="0" applyNumberFormat="1" applyFont="1" applyFill="1" applyBorder="1" applyAlignment="1" applyProtection="1">
      <alignment vertical="top" shrinkToFit="1"/>
      <protection locked="0"/>
    </xf>
    <xf numFmtId="0" fontId="16" fillId="0" borderId="49" xfId="0" applyFont="1" applyBorder="1" applyAlignment="1">
      <alignment horizontal="center" vertical="top" shrinkToFit="1"/>
    </xf>
    <xf numFmtId="0" fontId="16" fillId="0" borderId="49" xfId="0" applyFont="1" applyBorder="1" applyAlignment="1">
      <alignment horizontal="left" vertical="top" wrapText="1"/>
    </xf>
    <xf numFmtId="4" fontId="16" fillId="4" borderId="49" xfId="0" applyNumberFormat="1" applyFont="1" applyFill="1" applyBorder="1" applyAlignment="1" applyProtection="1">
      <alignment vertical="top" shrinkToFit="1"/>
      <protection locked="0"/>
    </xf>
    <xf numFmtId="4" fontId="16" fillId="0" borderId="49" xfId="0" applyNumberFormat="1" applyFont="1" applyBorder="1" applyAlignment="1">
      <alignment vertical="top" shrinkToFit="1"/>
    </xf>
    <xf numFmtId="0" fontId="16" fillId="0" borderId="10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top" shrinkToFit="1"/>
    </xf>
    <xf numFmtId="0" fontId="16" fillId="0" borderId="49" xfId="0" quotePrefix="1" applyFont="1" applyBorder="1" applyAlignment="1">
      <alignment horizontal="left" vertical="top" wrapText="1"/>
    </xf>
    <xf numFmtId="165" fontId="18" fillId="0" borderId="10" xfId="0" quotePrefix="1" applyNumberFormat="1" applyFont="1" applyBorder="1" applyAlignment="1">
      <alignment horizontal="left" vertical="top" wrapText="1"/>
    </xf>
    <xf numFmtId="164" fontId="16" fillId="0" borderId="37" xfId="0" applyNumberFormat="1" applyFont="1" applyBorder="1" applyAlignment="1">
      <alignment vertical="top" wrapText="1" shrinkToFit="1"/>
    </xf>
    <xf numFmtId="165" fontId="16" fillId="0" borderId="37" xfId="0" quotePrefix="1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wrapText="1" shrinkToFit="1"/>
    </xf>
    <xf numFmtId="165" fontId="16" fillId="0" borderId="50" xfId="0" quotePrefix="1" applyNumberFormat="1" applyFont="1" applyBorder="1" applyAlignment="1">
      <alignment horizontal="left" vertical="top" wrapText="1"/>
    </xf>
    <xf numFmtId="0" fontId="16" fillId="0" borderId="50" xfId="0" applyFont="1" applyBorder="1" applyAlignment="1">
      <alignment horizontal="center" vertical="top" wrapText="1" shrinkToFit="1"/>
    </xf>
    <xf numFmtId="164" fontId="16" fillId="0" borderId="50" xfId="0" applyNumberFormat="1" applyFont="1" applyBorder="1" applyAlignment="1">
      <alignment vertical="top" wrapText="1" shrinkToFit="1"/>
    </xf>
    <xf numFmtId="4" fontId="16" fillId="4" borderId="26" xfId="0" applyNumberFormat="1" applyFont="1" applyFill="1" applyBorder="1" applyAlignment="1" applyProtection="1">
      <alignment vertical="top" shrinkToFit="1"/>
      <protection locked="0"/>
    </xf>
    <xf numFmtId="164" fontId="16" fillId="0" borderId="26" xfId="0" applyNumberFormat="1" applyFont="1" applyBorder="1" applyAlignment="1">
      <alignment horizontal="right" vertical="top" wrapText="1"/>
    </xf>
    <xf numFmtId="0" fontId="16" fillId="0" borderId="26" xfId="0" applyFont="1" applyBorder="1" applyAlignment="1">
      <alignment horizontal="center" vertical="top" wrapText="1"/>
    </xf>
    <xf numFmtId="0" fontId="0" fillId="3" borderId="44" xfId="0" applyFill="1" applyBorder="1"/>
    <xf numFmtId="0" fontId="16" fillId="0" borderId="36" xfId="0" applyFont="1" applyBorder="1" applyAlignment="1">
      <alignment vertical="top"/>
    </xf>
    <xf numFmtId="0" fontId="16" fillId="0" borderId="47" xfId="0" quotePrefix="1" applyFont="1" applyBorder="1" applyAlignment="1">
      <alignment horizontal="left" vertical="top" wrapText="1"/>
    </xf>
    <xf numFmtId="0" fontId="16" fillId="0" borderId="47" xfId="0" applyFont="1" applyBorder="1" applyAlignment="1">
      <alignment horizontal="center" vertical="top" wrapText="1" shrinkToFit="1"/>
    </xf>
    <xf numFmtId="164" fontId="16" fillId="0" borderId="47" xfId="0" applyNumberFormat="1" applyFont="1" applyBorder="1" applyAlignment="1">
      <alignment vertical="top" wrapText="1" shrinkToFit="1"/>
    </xf>
    <xf numFmtId="4" fontId="16" fillId="0" borderId="47" xfId="0" applyNumberFormat="1" applyFont="1" applyBorder="1" applyAlignment="1" applyProtection="1">
      <alignment vertical="top" shrinkToFit="1"/>
      <protection locked="0"/>
    </xf>
    <xf numFmtId="0" fontId="16" fillId="0" borderId="36" xfId="0" quotePrefix="1" applyFont="1" applyBorder="1" applyAlignment="1">
      <alignment horizontal="left" vertical="top" wrapText="1"/>
    </xf>
    <xf numFmtId="164" fontId="16" fillId="0" borderId="49" xfId="0" applyNumberFormat="1" applyFont="1" applyBorder="1" applyAlignment="1">
      <alignment vertical="top" wrapText="1" shrinkToFit="1"/>
    </xf>
    <xf numFmtId="0" fontId="16" fillId="0" borderId="49" xfId="0" applyFont="1" applyBorder="1" applyAlignment="1">
      <alignment horizontal="center" vertical="top" wrapText="1" shrinkToFit="1"/>
    </xf>
    <xf numFmtId="0" fontId="10" fillId="0" borderId="26" xfId="0" applyFont="1" applyBorder="1" applyAlignment="1">
      <alignment horizontal="center" vertical="top" wrapText="1" shrinkToFit="1"/>
    </xf>
    <xf numFmtId="0" fontId="18" fillId="0" borderId="26" xfId="0" quotePrefix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7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0\userdata$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274" t="s">
        <v>39</v>
      </c>
      <c r="B2" s="274"/>
      <c r="C2" s="274"/>
      <c r="D2" s="274"/>
      <c r="E2" s="274"/>
      <c r="F2" s="274"/>
      <c r="G2" s="2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L19" sqref="L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296" t="s">
        <v>42</v>
      </c>
      <c r="C1" s="297"/>
      <c r="D1" s="297"/>
      <c r="E1" s="297"/>
      <c r="F1" s="297"/>
      <c r="G1" s="297"/>
      <c r="H1" s="297"/>
      <c r="I1" s="297"/>
      <c r="J1" s="298"/>
    </row>
    <row r="2" spans="1:15" ht="23.25" customHeight="1" x14ac:dyDescent="0.2">
      <c r="A2" s="3"/>
      <c r="B2" s="71" t="s">
        <v>40</v>
      </c>
      <c r="C2" s="72"/>
      <c r="D2" s="308" t="s">
        <v>263</v>
      </c>
      <c r="E2" s="308"/>
      <c r="F2" s="308"/>
      <c r="G2" s="308"/>
      <c r="H2" s="308"/>
      <c r="I2" s="308"/>
      <c r="J2" s="309"/>
      <c r="O2" s="1"/>
    </row>
    <row r="3" spans="1:15" ht="23.25" hidden="1" customHeight="1" x14ac:dyDescent="0.2">
      <c r="A3" s="3"/>
      <c r="B3" s="73" t="s">
        <v>43</v>
      </c>
      <c r="C3" s="72"/>
      <c r="D3" s="74"/>
      <c r="E3" s="74"/>
      <c r="F3" s="75"/>
      <c r="G3" s="75"/>
      <c r="H3" s="72"/>
      <c r="I3" s="76"/>
      <c r="J3" s="77"/>
    </row>
    <row r="4" spans="1:15" ht="23.25" hidden="1" customHeight="1" x14ac:dyDescent="0.2">
      <c r="A4" s="3"/>
      <c r="B4" s="78" t="s">
        <v>44</v>
      </c>
      <c r="C4" s="79"/>
      <c r="D4" s="80"/>
      <c r="E4" s="80"/>
      <c r="F4" s="81"/>
      <c r="G4" s="81"/>
      <c r="H4" s="81"/>
      <c r="I4" s="81"/>
      <c r="J4" s="82"/>
    </row>
    <row r="5" spans="1:15" ht="24" customHeight="1" x14ac:dyDescent="0.2">
      <c r="A5" s="3"/>
      <c r="B5" s="40" t="s">
        <v>21</v>
      </c>
      <c r="D5" s="83" t="s">
        <v>101</v>
      </c>
      <c r="E5" s="23"/>
      <c r="F5" s="23"/>
      <c r="G5" s="23"/>
      <c r="H5" s="25" t="s">
        <v>33</v>
      </c>
      <c r="I5" s="83" t="s">
        <v>104</v>
      </c>
      <c r="J5" s="9"/>
    </row>
    <row r="6" spans="1:15" ht="15.75" customHeight="1" x14ac:dyDescent="0.2">
      <c r="A6" s="3"/>
      <c r="B6" s="35"/>
      <c r="C6" s="23"/>
      <c r="D6" s="83" t="s">
        <v>102</v>
      </c>
      <c r="E6" s="23"/>
      <c r="F6" s="23"/>
      <c r="G6" s="23"/>
      <c r="H6" s="25" t="s">
        <v>34</v>
      </c>
      <c r="I6" s="83" t="s">
        <v>105</v>
      </c>
      <c r="J6" s="9"/>
    </row>
    <row r="7" spans="1:15" ht="15.75" customHeight="1" x14ac:dyDescent="0.2">
      <c r="A7" s="3"/>
      <c r="B7" s="36"/>
      <c r="C7" s="84"/>
      <c r="D7" s="70" t="s">
        <v>103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303"/>
      <c r="E11" s="303"/>
      <c r="F11" s="303"/>
      <c r="G11" s="303"/>
      <c r="H11" s="25" t="s">
        <v>33</v>
      </c>
      <c r="I11" s="86"/>
      <c r="J11" s="9"/>
    </row>
    <row r="12" spans="1:15" ht="15.75" customHeight="1" x14ac:dyDescent="0.2">
      <c r="A12" s="3"/>
      <c r="B12" s="35"/>
      <c r="C12" s="23"/>
      <c r="D12" s="306"/>
      <c r="E12" s="306"/>
      <c r="F12" s="306"/>
      <c r="G12" s="306"/>
      <c r="H12" s="25" t="s">
        <v>34</v>
      </c>
      <c r="I12" s="86"/>
      <c r="J12" s="9"/>
    </row>
    <row r="13" spans="1:15" ht="15.75" customHeight="1" x14ac:dyDescent="0.2">
      <c r="A13" s="3"/>
      <c r="B13" s="36"/>
      <c r="C13" s="85"/>
      <c r="D13" s="307"/>
      <c r="E13" s="307"/>
      <c r="F13" s="307"/>
      <c r="G13" s="30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302"/>
      <c r="F15" s="302"/>
      <c r="G15" s="304"/>
      <c r="H15" s="304"/>
      <c r="I15" s="304" t="s">
        <v>28</v>
      </c>
      <c r="J15" s="305"/>
    </row>
    <row r="16" spans="1:15" ht="23.25" customHeight="1" x14ac:dyDescent="0.2">
      <c r="A16" s="126" t="s">
        <v>23</v>
      </c>
      <c r="B16" s="127" t="s">
        <v>23</v>
      </c>
      <c r="C16" s="48"/>
      <c r="D16" s="49"/>
      <c r="E16" s="290"/>
      <c r="F16" s="291"/>
      <c r="G16" s="290"/>
      <c r="H16" s="291"/>
      <c r="I16" s="290">
        <f>SUMIF(F47:F53,A16,I47:I53)+SUMIF(F47:F53,"PSU",I47:I53)</f>
        <v>0</v>
      </c>
      <c r="J16" s="292"/>
    </row>
    <row r="17" spans="1:10" ht="23.25" customHeight="1" x14ac:dyDescent="0.2">
      <c r="A17" s="126" t="s">
        <v>24</v>
      </c>
      <c r="B17" s="127" t="s">
        <v>24</v>
      </c>
      <c r="C17" s="48"/>
      <c r="D17" s="49"/>
      <c r="E17" s="290"/>
      <c r="F17" s="291"/>
      <c r="G17" s="290"/>
      <c r="H17" s="291"/>
      <c r="I17" s="290">
        <f>SUMIF(F47:F53,A17,I47:I53)</f>
        <v>0</v>
      </c>
      <c r="J17" s="292"/>
    </row>
    <row r="18" spans="1:10" ht="23.25" customHeight="1" x14ac:dyDescent="0.2">
      <c r="A18" s="126" t="s">
        <v>25</v>
      </c>
      <c r="B18" s="127" t="s">
        <v>25</v>
      </c>
      <c r="C18" s="48"/>
      <c r="D18" s="49"/>
      <c r="E18" s="290"/>
      <c r="F18" s="291"/>
      <c r="G18" s="290"/>
      <c r="H18" s="291"/>
      <c r="I18" s="290">
        <f>SUMIF(F47:F53,A18,I47:I53)</f>
        <v>0</v>
      </c>
      <c r="J18" s="292"/>
    </row>
    <row r="19" spans="1:10" ht="23.25" customHeight="1" x14ac:dyDescent="0.2">
      <c r="A19" s="126" t="s">
        <v>59</v>
      </c>
      <c r="B19" s="127" t="s">
        <v>26</v>
      </c>
      <c r="C19" s="48"/>
      <c r="D19" s="49"/>
      <c r="E19" s="290"/>
      <c r="F19" s="291"/>
      <c r="G19" s="290"/>
      <c r="H19" s="291"/>
      <c r="I19" s="290">
        <f>SUMIF(F47:F53,A19,I47:I53)</f>
        <v>0</v>
      </c>
      <c r="J19" s="292"/>
    </row>
    <row r="20" spans="1:10" ht="23.25" customHeight="1" x14ac:dyDescent="0.2">
      <c r="A20" s="126" t="s">
        <v>60</v>
      </c>
      <c r="B20" s="127" t="s">
        <v>27</v>
      </c>
      <c r="C20" s="48"/>
      <c r="D20" s="49"/>
      <c r="E20" s="290"/>
      <c r="F20" s="291"/>
      <c r="G20" s="290"/>
      <c r="H20" s="291"/>
      <c r="I20" s="290">
        <f>SUMIF(F47:F53,A20,I47:I53)</f>
        <v>0</v>
      </c>
      <c r="J20" s="292"/>
    </row>
    <row r="21" spans="1:10" ht="23.25" customHeight="1" x14ac:dyDescent="0.2">
      <c r="A21" s="3"/>
      <c r="B21" s="64" t="s">
        <v>28</v>
      </c>
      <c r="C21" s="65"/>
      <c r="D21" s="66"/>
      <c r="E21" s="293"/>
      <c r="F21" s="310"/>
      <c r="G21" s="293"/>
      <c r="H21" s="310"/>
      <c r="I21" s="293">
        <f>SUM(I16:J20)</f>
        <v>0</v>
      </c>
      <c r="J21" s="294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88">
        <f>ZakladDPHSniVypocet</f>
        <v>0</v>
      </c>
      <c r="H23" s="289"/>
      <c r="I23" s="289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86">
        <f>ZakladDPHSni*SazbaDPH1/100</f>
        <v>0</v>
      </c>
      <c r="H24" s="287"/>
      <c r="I24" s="287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88">
        <f>ZakladDPHZaklVypocet</f>
        <v>0</v>
      </c>
      <c r="H25" s="289"/>
      <c r="I25" s="289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99">
        <f>ZakladDPHZakl*SazbaDPH2/100</f>
        <v>0</v>
      </c>
      <c r="H26" s="300"/>
      <c r="I26" s="300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301">
        <f>0</f>
        <v>0</v>
      </c>
      <c r="H27" s="301"/>
      <c r="I27" s="301"/>
      <c r="J27" s="53" t="str">
        <f t="shared" si="0"/>
        <v>CZK</v>
      </c>
    </row>
    <row r="28" spans="1:10" ht="27.75" hidden="1" customHeight="1" thickBot="1" x14ac:dyDescent="0.25">
      <c r="A28" s="3"/>
      <c r="B28" s="105" t="s">
        <v>22</v>
      </c>
      <c r="C28" s="106"/>
      <c r="D28" s="106"/>
      <c r="E28" s="107"/>
      <c r="F28" s="108"/>
      <c r="G28" s="311">
        <f>ZakladDPHSniVypocet+ZakladDPHZaklVypocet</f>
        <v>0</v>
      </c>
      <c r="H28" s="311"/>
      <c r="I28" s="311"/>
      <c r="J28" s="109" t="str">
        <f t="shared" si="0"/>
        <v>CZK</v>
      </c>
    </row>
    <row r="29" spans="1:10" ht="27.75" customHeight="1" thickBot="1" x14ac:dyDescent="0.25">
      <c r="A29" s="3"/>
      <c r="B29" s="105" t="s">
        <v>35</v>
      </c>
      <c r="C29" s="110"/>
      <c r="D29" s="110"/>
      <c r="E29" s="110"/>
      <c r="F29" s="110"/>
      <c r="G29" s="295">
        <f>ZakladDPHSni+DPHSni+ZakladDPHZakl+DPHZakl+Zaokrouhleni</f>
        <v>0</v>
      </c>
      <c r="H29" s="295"/>
      <c r="I29" s="295"/>
      <c r="J29" s="111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85" t="s">
        <v>2</v>
      </c>
      <c r="E35" s="28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7"/>
      <c r="G37" s="97"/>
      <c r="H37" s="97"/>
      <c r="I37" s="97"/>
      <c r="J37" s="2"/>
    </row>
    <row r="38" spans="1:10" ht="25.5" hidden="1" customHeight="1" x14ac:dyDescent="0.2">
      <c r="A38" s="89" t="s">
        <v>37</v>
      </c>
      <c r="B38" s="91" t="s">
        <v>16</v>
      </c>
      <c r="C38" s="92" t="s">
        <v>5</v>
      </c>
      <c r="D38" s="93"/>
      <c r="E38" s="93"/>
      <c r="F38" s="98" t="str">
        <f>B23</f>
        <v>Základ pro sníženou DPH</v>
      </c>
      <c r="G38" s="98" t="str">
        <f>B25</f>
        <v>Základ pro základní DPH</v>
      </c>
      <c r="H38" s="99" t="s">
        <v>17</v>
      </c>
      <c r="I38" s="99" t="s">
        <v>1</v>
      </c>
      <c r="J38" s="94" t="s">
        <v>0</v>
      </c>
    </row>
    <row r="39" spans="1:10" ht="25.5" hidden="1" customHeight="1" x14ac:dyDescent="0.2">
      <c r="A39" s="89">
        <v>1</v>
      </c>
      <c r="B39" s="95"/>
      <c r="C39" s="279"/>
      <c r="D39" s="280"/>
      <c r="E39" s="280"/>
      <c r="F39" s="100">
        <f>' Pol'!AC227</f>
        <v>0</v>
      </c>
      <c r="G39" s="101">
        <f>' Pol'!AD227</f>
        <v>0</v>
      </c>
      <c r="H39" s="102">
        <f>(F39*SazbaDPH1/100)+(G39*SazbaDPH2/100)</f>
        <v>0</v>
      </c>
      <c r="I39" s="102">
        <f>F39+G39+H39</f>
        <v>0</v>
      </c>
      <c r="J39" s="96" t="str">
        <f>IF(CenaCelkemVypocet=0,"",I39/CenaCelkemVypocet*100)</f>
        <v/>
      </c>
    </row>
    <row r="40" spans="1:10" ht="25.5" hidden="1" customHeight="1" x14ac:dyDescent="0.2">
      <c r="A40" s="89"/>
      <c r="B40" s="281" t="s">
        <v>45</v>
      </c>
      <c r="C40" s="282"/>
      <c r="D40" s="282"/>
      <c r="E40" s="283"/>
      <c r="F40" s="103">
        <f>SUMIF(A39:A39,"=1",F39:F39)</f>
        <v>0</v>
      </c>
      <c r="G40" s="104">
        <f>SUMIF(A39:A39,"=1",G39:G39)</f>
        <v>0</v>
      </c>
      <c r="H40" s="104">
        <f>SUMIF(A39:A39,"=1",H39:H39)</f>
        <v>0</v>
      </c>
      <c r="I40" s="104">
        <f>SUMIF(A39:A39,"=1",I39:I39)</f>
        <v>0</v>
      </c>
      <c r="J40" s="90">
        <f>SUMIF(A39:A39,"=1",J39:J39)</f>
        <v>0</v>
      </c>
    </row>
    <row r="44" spans="1:10" ht="15.75" x14ac:dyDescent="0.25">
      <c r="B44" s="112" t="s">
        <v>47</v>
      </c>
    </row>
    <row r="46" spans="1:10" ht="25.5" customHeight="1" x14ac:dyDescent="0.2">
      <c r="A46" s="113"/>
      <c r="B46" s="117" t="s">
        <v>16</v>
      </c>
      <c r="C46" s="117" t="s">
        <v>5</v>
      </c>
      <c r="D46" s="118"/>
      <c r="E46" s="118"/>
      <c r="F46" s="121" t="s">
        <v>48</v>
      </c>
      <c r="G46" s="121"/>
      <c r="H46" s="121"/>
      <c r="I46" s="284" t="s">
        <v>28</v>
      </c>
      <c r="J46" s="284"/>
    </row>
    <row r="47" spans="1:10" ht="25.5" customHeight="1" x14ac:dyDescent="0.2">
      <c r="A47" s="114"/>
      <c r="B47" s="116" t="s">
        <v>49</v>
      </c>
      <c r="C47" s="276" t="s">
        <v>50</v>
      </c>
      <c r="D47" s="277"/>
      <c r="E47" s="277"/>
      <c r="F47" s="122" t="s">
        <v>23</v>
      </c>
      <c r="G47" s="123"/>
      <c r="H47" s="123"/>
      <c r="I47" s="275">
        <f>' Pol'!G8</f>
        <v>0</v>
      </c>
      <c r="J47" s="275"/>
    </row>
    <row r="48" spans="1:10" ht="25.5" customHeight="1" x14ac:dyDescent="0.2">
      <c r="A48" s="114"/>
      <c r="B48" s="116" t="s">
        <v>51</v>
      </c>
      <c r="C48" s="276" t="s">
        <v>184</v>
      </c>
      <c r="D48" s="277"/>
      <c r="E48" s="277"/>
      <c r="F48" s="122" t="s">
        <v>23</v>
      </c>
      <c r="G48" s="123"/>
      <c r="H48" s="123"/>
      <c r="I48" s="275">
        <f>' Pol'!G27</f>
        <v>0</v>
      </c>
      <c r="J48" s="275"/>
    </row>
    <row r="49" spans="1:10" ht="25.5" customHeight="1" x14ac:dyDescent="0.2">
      <c r="A49" s="114"/>
      <c r="B49" s="116" t="s">
        <v>52</v>
      </c>
      <c r="C49" s="276" t="s">
        <v>53</v>
      </c>
      <c r="D49" s="277"/>
      <c r="E49" s="277"/>
      <c r="F49" s="122" t="s">
        <v>24</v>
      </c>
      <c r="G49" s="123"/>
      <c r="H49" s="123"/>
      <c r="I49" s="275">
        <f>' Pol'!G41</f>
        <v>0</v>
      </c>
      <c r="J49" s="275"/>
    </row>
    <row r="50" spans="1:10" ht="25.5" customHeight="1" x14ac:dyDescent="0.2">
      <c r="A50" s="114"/>
      <c r="B50" s="116" t="s">
        <v>54</v>
      </c>
      <c r="C50" s="276" t="s">
        <v>55</v>
      </c>
      <c r="D50" s="277"/>
      <c r="E50" s="277"/>
      <c r="F50" s="122" t="s">
        <v>24</v>
      </c>
      <c r="G50" s="123"/>
      <c r="H50" s="123"/>
      <c r="I50" s="275">
        <f>' Pol'!G84</f>
        <v>0</v>
      </c>
      <c r="J50" s="275"/>
    </row>
    <row r="51" spans="1:10" ht="25.5" customHeight="1" x14ac:dyDescent="0.2">
      <c r="A51" s="114"/>
      <c r="B51" s="116" t="s">
        <v>56</v>
      </c>
      <c r="C51" s="276" t="s">
        <v>209</v>
      </c>
      <c r="D51" s="277"/>
      <c r="E51" s="277"/>
      <c r="F51" s="122" t="s">
        <v>24</v>
      </c>
      <c r="G51" s="123"/>
      <c r="H51" s="123"/>
      <c r="I51" s="275">
        <f>' Pol'!G127</f>
        <v>0</v>
      </c>
      <c r="J51" s="275"/>
    </row>
    <row r="52" spans="1:10" ht="25.5" customHeight="1" x14ac:dyDescent="0.2">
      <c r="A52" s="114"/>
      <c r="B52" s="116" t="s">
        <v>210</v>
      </c>
      <c r="C52" s="276" t="s">
        <v>211</v>
      </c>
      <c r="D52" s="277"/>
      <c r="E52" s="277"/>
      <c r="F52" s="122" t="s">
        <v>24</v>
      </c>
      <c r="G52" s="123"/>
      <c r="H52" s="123"/>
      <c r="I52" s="275">
        <f>' Pol'!G128</f>
        <v>0</v>
      </c>
      <c r="J52" s="275"/>
    </row>
    <row r="53" spans="1:10" ht="25.5" customHeight="1" x14ac:dyDescent="0.2">
      <c r="A53" s="114"/>
      <c r="B53" s="116" t="s">
        <v>57</v>
      </c>
      <c r="C53" s="276" t="s">
        <v>58</v>
      </c>
      <c r="D53" s="277"/>
      <c r="E53" s="277"/>
      <c r="F53" s="122" t="s">
        <v>25</v>
      </c>
      <c r="G53" s="123"/>
      <c r="H53" s="123"/>
      <c r="I53" s="275">
        <f>' Pol'!G191</f>
        <v>0</v>
      </c>
      <c r="J53" s="275"/>
    </row>
    <row r="54" spans="1:10" ht="25.5" customHeight="1" x14ac:dyDescent="0.2">
      <c r="A54" s="115"/>
      <c r="B54" s="119" t="s">
        <v>1</v>
      </c>
      <c r="C54" s="119"/>
      <c r="D54" s="120"/>
      <c r="E54" s="120"/>
      <c r="F54" s="124"/>
      <c r="G54" s="125"/>
      <c r="H54" s="125"/>
      <c r="I54" s="278">
        <f>SUM(I47:I53)</f>
        <v>0</v>
      </c>
      <c r="J54" s="278"/>
    </row>
    <row r="55" spans="1:10" x14ac:dyDescent="0.2">
      <c r="F55" s="88"/>
      <c r="G55" s="88"/>
      <c r="H55" s="88"/>
      <c r="I55" s="88"/>
      <c r="J55" s="88"/>
    </row>
    <row r="56" spans="1:10" x14ac:dyDescent="0.2">
      <c r="F56" s="88"/>
      <c r="G56" s="88"/>
      <c r="H56" s="88"/>
      <c r="I56" s="88"/>
      <c r="J56" s="88"/>
    </row>
    <row r="57" spans="1:10" x14ac:dyDescent="0.2">
      <c r="F57" s="88"/>
      <c r="G57" s="88"/>
      <c r="H57" s="88"/>
      <c r="I57" s="88"/>
      <c r="J57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16:J16"/>
    <mergeCell ref="I19:J19"/>
    <mergeCell ref="E21:F21"/>
    <mergeCell ref="G21:H21"/>
    <mergeCell ref="G28:I28"/>
    <mergeCell ref="E16:F16"/>
    <mergeCell ref="G19:H19"/>
    <mergeCell ref="G20:H20"/>
    <mergeCell ref="E18:F18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D35:E35"/>
    <mergeCell ref="G24:I24"/>
    <mergeCell ref="G23:I23"/>
    <mergeCell ref="E19:F19"/>
    <mergeCell ref="E20:F20"/>
    <mergeCell ref="I20:J20"/>
    <mergeCell ref="I21:J21"/>
    <mergeCell ref="G29:I29"/>
    <mergeCell ref="G25:I25"/>
    <mergeCell ref="C39:E39"/>
    <mergeCell ref="B40:E40"/>
    <mergeCell ref="I46:J46"/>
    <mergeCell ref="I47:J47"/>
    <mergeCell ref="C47:E47"/>
    <mergeCell ref="I48:J48"/>
    <mergeCell ref="C48:E48"/>
    <mergeCell ref="I49:J49"/>
    <mergeCell ref="C49:E49"/>
    <mergeCell ref="I50:J50"/>
    <mergeCell ref="C50:E50"/>
    <mergeCell ref="I52:J52"/>
    <mergeCell ref="C52:E52"/>
    <mergeCell ref="C51:E51"/>
    <mergeCell ref="I51:J51"/>
    <mergeCell ref="I54:J54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312" t="s">
        <v>6</v>
      </c>
      <c r="B1" s="312"/>
      <c r="C1" s="313"/>
      <c r="D1" s="312"/>
      <c r="E1" s="312"/>
      <c r="F1" s="312"/>
      <c r="G1" s="312"/>
    </row>
    <row r="2" spans="1:7" ht="24.95" customHeight="1" x14ac:dyDescent="0.2">
      <c r="A2" s="69" t="s">
        <v>41</v>
      </c>
      <c r="B2" s="68"/>
      <c r="C2" s="314"/>
      <c r="D2" s="314"/>
      <c r="E2" s="314"/>
      <c r="F2" s="314"/>
      <c r="G2" s="315"/>
    </row>
    <row r="3" spans="1:7" ht="24.95" hidden="1" customHeight="1" x14ac:dyDescent="0.2">
      <c r="A3" s="69" t="s">
        <v>7</v>
      </c>
      <c r="B3" s="68"/>
      <c r="C3" s="314"/>
      <c r="D3" s="314"/>
      <c r="E3" s="314"/>
      <c r="F3" s="314"/>
      <c r="G3" s="315"/>
    </row>
    <row r="4" spans="1:7" ht="24.95" hidden="1" customHeight="1" x14ac:dyDescent="0.2">
      <c r="A4" s="69" t="s">
        <v>8</v>
      </c>
      <c r="B4" s="68"/>
      <c r="C4" s="314"/>
      <c r="D4" s="314"/>
      <c r="E4" s="314"/>
      <c r="F4" s="314"/>
      <c r="G4" s="31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62"/>
  <sheetViews>
    <sheetView tabSelected="1" workbookViewId="0">
      <selection activeCell="F15" sqref="F15:G15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38.28515625" style="87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316" t="s">
        <v>6</v>
      </c>
      <c r="B1" s="316"/>
      <c r="C1" s="316"/>
      <c r="D1" s="316"/>
      <c r="E1" s="316"/>
      <c r="F1" s="316"/>
      <c r="G1" s="316"/>
      <c r="AE1" t="s">
        <v>62</v>
      </c>
    </row>
    <row r="2" spans="1:60" ht="25.15" customHeight="1" x14ac:dyDescent="0.2">
      <c r="A2" s="130" t="s">
        <v>61</v>
      </c>
      <c r="B2" s="128"/>
      <c r="C2" s="317" t="s">
        <v>263</v>
      </c>
      <c r="D2" s="318"/>
      <c r="E2" s="318"/>
      <c r="F2" s="318"/>
      <c r="G2" s="319"/>
      <c r="AE2" t="s">
        <v>63</v>
      </c>
    </row>
    <row r="3" spans="1:60" ht="25.15" hidden="1" customHeight="1" x14ac:dyDescent="0.2">
      <c r="A3" s="131" t="s">
        <v>7</v>
      </c>
      <c r="B3" s="129"/>
      <c r="C3" s="320"/>
      <c r="D3" s="320"/>
      <c r="E3" s="320"/>
      <c r="F3" s="320"/>
      <c r="G3" s="321"/>
      <c r="AE3" t="s">
        <v>64</v>
      </c>
    </row>
    <row r="4" spans="1:60" ht="25.15" hidden="1" customHeight="1" x14ac:dyDescent="0.2">
      <c r="A4" s="131" t="s">
        <v>8</v>
      </c>
      <c r="B4" s="129"/>
      <c r="C4" s="322"/>
      <c r="D4" s="320"/>
      <c r="E4" s="320"/>
      <c r="F4" s="320"/>
      <c r="G4" s="321"/>
      <c r="AE4" t="s">
        <v>65</v>
      </c>
    </row>
    <row r="5" spans="1:60" hidden="1" x14ac:dyDescent="0.2">
      <c r="A5" s="263" t="s">
        <v>66</v>
      </c>
      <c r="B5" s="132"/>
      <c r="C5" s="132"/>
      <c r="D5" s="133"/>
      <c r="E5" s="134"/>
      <c r="F5" s="134"/>
      <c r="G5" s="135"/>
      <c r="AE5" t="s">
        <v>67</v>
      </c>
    </row>
    <row r="6" spans="1:60" x14ac:dyDescent="0.2">
      <c r="D6" s="11"/>
    </row>
    <row r="7" spans="1:60" ht="38.25" x14ac:dyDescent="0.2">
      <c r="A7" s="239" t="s">
        <v>68</v>
      </c>
      <c r="B7" s="240" t="s">
        <v>69</v>
      </c>
      <c r="C7" s="240" t="s">
        <v>70</v>
      </c>
      <c r="D7" s="241" t="s">
        <v>71</v>
      </c>
      <c r="E7" s="239" t="s">
        <v>72</v>
      </c>
      <c r="F7" s="242" t="s">
        <v>73</v>
      </c>
      <c r="G7" s="239" t="s">
        <v>28</v>
      </c>
      <c r="H7" s="243" t="s">
        <v>29</v>
      </c>
      <c r="I7" s="243" t="s">
        <v>74</v>
      </c>
      <c r="J7" s="243" t="s">
        <v>30</v>
      </c>
      <c r="K7" s="243" t="s">
        <v>75</v>
      </c>
      <c r="L7" s="243" t="s">
        <v>76</v>
      </c>
      <c r="M7" s="243" t="s">
        <v>77</v>
      </c>
      <c r="N7" s="243" t="s">
        <v>78</v>
      </c>
      <c r="O7" s="243" t="s">
        <v>79</v>
      </c>
      <c r="P7" s="243" t="s">
        <v>80</v>
      </c>
      <c r="Q7" s="243" t="s">
        <v>81</v>
      </c>
      <c r="R7" s="152" t="s">
        <v>82</v>
      </c>
      <c r="S7" s="152" t="s">
        <v>83</v>
      </c>
      <c r="T7" s="152" t="s">
        <v>84</v>
      </c>
      <c r="U7" s="139" t="s">
        <v>85</v>
      </c>
    </row>
    <row r="8" spans="1:60" x14ac:dyDescent="0.2">
      <c r="A8" s="140" t="s">
        <v>86</v>
      </c>
      <c r="B8" s="140" t="s">
        <v>49</v>
      </c>
      <c r="C8" s="162" t="s">
        <v>50</v>
      </c>
      <c r="D8" s="143"/>
      <c r="E8" s="146"/>
      <c r="F8" s="150"/>
      <c r="G8" s="150">
        <f>SUMIF(AE9:AE26,"&lt;&gt;NOR",G9:G26)</f>
        <v>0</v>
      </c>
      <c r="H8" s="150"/>
      <c r="I8" s="150">
        <f>SUM(I9:I26)</f>
        <v>0</v>
      </c>
      <c r="J8" s="150"/>
      <c r="K8" s="150">
        <f>SUM(K9:K26)</f>
        <v>0</v>
      </c>
      <c r="L8" s="150"/>
      <c r="M8" s="150">
        <f>SUM(M9:M26)</f>
        <v>0</v>
      </c>
      <c r="N8" s="150"/>
      <c r="O8" s="146">
        <f>SUM(O9:O26)</f>
        <v>0</v>
      </c>
      <c r="P8" s="150"/>
      <c r="Q8" s="146">
        <f>SUM(Q9:Q26)</f>
        <v>0</v>
      </c>
      <c r="R8" s="150"/>
      <c r="S8" s="150"/>
      <c r="T8" s="151"/>
      <c r="U8" s="150">
        <f>SUM(U9:U26)</f>
        <v>111.59</v>
      </c>
      <c r="AE8" t="s">
        <v>87</v>
      </c>
    </row>
    <row r="9" spans="1:60" ht="22.5" customHeight="1" outlineLevel="1" x14ac:dyDescent="0.2">
      <c r="A9" s="137">
        <v>1</v>
      </c>
      <c r="B9" s="172">
        <v>941211111</v>
      </c>
      <c r="C9" s="160" t="s">
        <v>108</v>
      </c>
      <c r="D9" s="141" t="s">
        <v>94</v>
      </c>
      <c r="E9" s="144">
        <f>E12</f>
        <v>308.75</v>
      </c>
      <c r="F9" s="147"/>
      <c r="G9" s="148">
        <f>ROUND(E9*F9,2)</f>
        <v>0</v>
      </c>
      <c r="H9" s="147"/>
      <c r="I9" s="148">
        <f>ROUND(E9*H9,2)</f>
        <v>0</v>
      </c>
      <c r="J9" s="147"/>
      <c r="K9" s="148">
        <f>ROUND(E9*J9,2)</f>
        <v>0</v>
      </c>
      <c r="L9" s="148">
        <v>21</v>
      </c>
      <c r="M9" s="148">
        <f>G9*(1+L9/100)</f>
        <v>0</v>
      </c>
      <c r="N9" s="144">
        <v>0</v>
      </c>
      <c r="O9" s="144">
        <f>ROUND(E9*N9,2)</f>
        <v>0</v>
      </c>
      <c r="P9" s="144">
        <v>0</v>
      </c>
      <c r="Q9" s="144">
        <f>ROUND(E9*P9,2)</f>
        <v>0</v>
      </c>
      <c r="R9" s="148"/>
      <c r="S9" s="148"/>
      <c r="T9" s="149">
        <v>0.155</v>
      </c>
      <c r="U9" s="148">
        <f>ROUND(E9*T9,2)</f>
        <v>47.86</v>
      </c>
      <c r="V9" s="136"/>
      <c r="W9" s="136"/>
      <c r="X9" s="136"/>
      <c r="Y9" s="136"/>
      <c r="Z9" s="136"/>
      <c r="AA9" s="136"/>
      <c r="AB9" s="136"/>
      <c r="AC9" s="136"/>
      <c r="AD9" s="136"/>
      <c r="AE9" s="136" t="s">
        <v>92</v>
      </c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outlineLevel="1" x14ac:dyDescent="0.2">
      <c r="A10" s="137"/>
      <c r="B10" s="137"/>
      <c r="C10" s="161" t="s">
        <v>106</v>
      </c>
      <c r="D10" s="142"/>
      <c r="E10" s="145">
        <f>9.5*16</f>
        <v>152</v>
      </c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9"/>
      <c r="U10" s="148"/>
      <c r="V10" s="136"/>
      <c r="W10" s="136"/>
      <c r="X10" s="136"/>
      <c r="Y10" s="136"/>
      <c r="Z10" s="136"/>
      <c r="AA10" s="136"/>
      <c r="AB10" s="136"/>
      <c r="AC10" s="136"/>
      <c r="AD10" s="136"/>
      <c r="AE10" s="136" t="s">
        <v>90</v>
      </c>
      <c r="AF10" s="136">
        <v>0</v>
      </c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 x14ac:dyDescent="0.2">
      <c r="A11" s="137"/>
      <c r="B11" s="137"/>
      <c r="C11" s="161" t="s">
        <v>107</v>
      </c>
      <c r="D11" s="142"/>
      <c r="E11" s="169">
        <f>9.5*16.5</f>
        <v>156.75</v>
      </c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9"/>
      <c r="U11" s="148"/>
      <c r="V11" s="136"/>
      <c r="W11" s="136"/>
      <c r="X11" s="136"/>
      <c r="Y11" s="136"/>
      <c r="Z11" s="136"/>
      <c r="AA11" s="136"/>
      <c r="AB11" s="136"/>
      <c r="AC11" s="136"/>
      <c r="AD11" s="136"/>
      <c r="AE11" s="136" t="s">
        <v>90</v>
      </c>
      <c r="AF11" s="136">
        <v>0</v>
      </c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outlineLevel="1" x14ac:dyDescent="0.2">
      <c r="A12" s="167"/>
      <c r="B12" s="167"/>
      <c r="C12" s="170"/>
      <c r="D12" s="171"/>
      <c r="E12" s="169">
        <f>SUM(E10:E11)</f>
        <v>308.75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48"/>
      <c r="S12" s="148"/>
      <c r="T12" s="149"/>
      <c r="U12" s="148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ht="22.5" outlineLevel="1" x14ac:dyDescent="0.2">
      <c r="A13" s="137">
        <v>2</v>
      </c>
      <c r="B13" s="172">
        <v>941211811</v>
      </c>
      <c r="C13" s="160" t="s">
        <v>111</v>
      </c>
      <c r="D13" s="141" t="s">
        <v>94</v>
      </c>
      <c r="E13" s="144">
        <f>E16</f>
        <v>308.75</v>
      </c>
      <c r="F13" s="147"/>
      <c r="G13" s="148">
        <f>ROUND(E13*F13,2)</f>
        <v>0</v>
      </c>
      <c r="H13" s="147"/>
      <c r="I13" s="148">
        <f>ROUND(E13*H13,2)</f>
        <v>0</v>
      </c>
      <c r="J13" s="147"/>
      <c r="K13" s="148">
        <f>ROUND(E13*J13,2)</f>
        <v>0</v>
      </c>
      <c r="L13" s="148">
        <v>21</v>
      </c>
      <c r="M13" s="148">
        <f>G13*(1+L13/100)</f>
        <v>0</v>
      </c>
      <c r="N13" s="144">
        <v>0</v>
      </c>
      <c r="O13" s="144">
        <f>ROUND(E13*N13,2)</f>
        <v>0</v>
      </c>
      <c r="P13" s="144">
        <v>0</v>
      </c>
      <c r="Q13" s="144">
        <f>ROUND(E13*P13,2)</f>
        <v>0</v>
      </c>
      <c r="R13" s="148"/>
      <c r="S13" s="148"/>
      <c r="T13" s="149">
        <v>0.13600000000000001</v>
      </c>
      <c r="U13" s="148">
        <f>ROUND(E13*T13,2)</f>
        <v>41.99</v>
      </c>
      <c r="V13" s="136"/>
      <c r="W13" s="136"/>
      <c r="X13" s="136"/>
      <c r="Y13" s="136"/>
      <c r="Z13" s="136"/>
      <c r="AA13" s="136"/>
      <c r="AB13" s="136"/>
      <c r="AC13" s="136"/>
      <c r="AD13" s="136"/>
      <c r="AE13" s="136" t="s">
        <v>92</v>
      </c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 x14ac:dyDescent="0.2">
      <c r="A14" s="137"/>
      <c r="B14" s="137"/>
      <c r="C14" s="161" t="s">
        <v>106</v>
      </c>
      <c r="D14" s="142"/>
      <c r="E14" s="145">
        <f>9.5*16</f>
        <v>152</v>
      </c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9"/>
      <c r="U14" s="148"/>
      <c r="V14" s="136"/>
      <c r="W14" s="136"/>
      <c r="X14" s="136"/>
      <c r="Y14" s="136"/>
      <c r="Z14" s="136"/>
      <c r="AA14" s="136"/>
      <c r="AB14" s="136"/>
      <c r="AC14" s="136"/>
      <c r="AD14" s="136"/>
      <c r="AE14" s="136" t="s">
        <v>90</v>
      </c>
      <c r="AF14" s="136">
        <v>0</v>
      </c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 x14ac:dyDescent="0.2">
      <c r="A15" s="137"/>
      <c r="B15" s="137"/>
      <c r="C15" s="161" t="s">
        <v>107</v>
      </c>
      <c r="D15" s="142"/>
      <c r="E15" s="169">
        <f>9.5*16.5</f>
        <v>156.75</v>
      </c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9"/>
      <c r="U15" s="148"/>
      <c r="V15" s="136"/>
      <c r="W15" s="136"/>
      <c r="X15" s="136"/>
      <c r="Y15" s="136"/>
      <c r="Z15" s="136"/>
      <c r="AA15" s="136"/>
      <c r="AB15" s="136"/>
      <c r="AC15" s="136"/>
      <c r="AD15" s="136"/>
      <c r="AE15" s="136" t="s">
        <v>90</v>
      </c>
      <c r="AF15" s="136">
        <v>0</v>
      </c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outlineLevel="1" x14ac:dyDescent="0.2">
      <c r="A16" s="167"/>
      <c r="B16" s="167"/>
      <c r="C16" s="170"/>
      <c r="D16" s="171"/>
      <c r="E16" s="169">
        <f>SUM(E14:E15)</f>
        <v>308.75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48"/>
      <c r="S16" s="148"/>
      <c r="T16" s="149"/>
      <c r="U16" s="148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2.5" outlineLevel="1" x14ac:dyDescent="0.2">
      <c r="A17" s="137">
        <v>3</v>
      </c>
      <c r="B17" s="172">
        <v>941211211</v>
      </c>
      <c r="C17" s="160" t="s">
        <v>112</v>
      </c>
      <c r="D17" s="141" t="s">
        <v>94</v>
      </c>
      <c r="E17" s="144">
        <f>E18</f>
        <v>18525</v>
      </c>
      <c r="F17" s="147"/>
      <c r="G17" s="148">
        <f>ROUND(E17*F17,2)</f>
        <v>0</v>
      </c>
      <c r="H17" s="147"/>
      <c r="I17" s="148">
        <f>ROUND(E17*H17,2)</f>
        <v>0</v>
      </c>
      <c r="J17" s="147"/>
      <c r="K17" s="148">
        <f>ROUND(E17*J17,2)</f>
        <v>0</v>
      </c>
      <c r="L17" s="148">
        <v>21</v>
      </c>
      <c r="M17" s="148">
        <f>G17*(1+L17/100)</f>
        <v>0</v>
      </c>
      <c r="N17" s="144">
        <v>0</v>
      </c>
      <c r="O17" s="144">
        <f>ROUND(E17*N17,2)</f>
        <v>0</v>
      </c>
      <c r="P17" s="144">
        <v>0</v>
      </c>
      <c r="Q17" s="144">
        <f>ROUND(E17*P17,2)</f>
        <v>0</v>
      </c>
      <c r="R17" s="148"/>
      <c r="S17" s="148"/>
      <c r="T17" s="149">
        <v>0</v>
      </c>
      <c r="U17" s="148">
        <f>ROUND(E17*T17,2)</f>
        <v>0</v>
      </c>
      <c r="V17" s="136"/>
      <c r="W17" s="136"/>
      <c r="X17" s="136"/>
      <c r="Y17" s="136"/>
      <c r="Z17" s="136"/>
      <c r="AA17" s="136"/>
      <c r="AB17" s="136"/>
      <c r="AC17" s="136"/>
      <c r="AD17" s="136"/>
      <c r="AE17" s="136" t="s">
        <v>92</v>
      </c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 x14ac:dyDescent="0.2">
      <c r="A18" s="167"/>
      <c r="B18" s="167"/>
      <c r="C18" s="170" t="s">
        <v>113</v>
      </c>
      <c r="D18" s="171"/>
      <c r="E18" s="169">
        <f>60*308.75</f>
        <v>18525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48"/>
      <c r="S18" s="148"/>
      <c r="T18" s="149"/>
      <c r="U18" s="148"/>
      <c r="V18" s="136"/>
      <c r="W18" s="136"/>
      <c r="X18" s="136"/>
      <c r="Y18" s="136"/>
      <c r="Z18" s="136"/>
      <c r="AA18" s="136"/>
      <c r="AB18" s="136"/>
      <c r="AC18" s="136"/>
      <c r="AD18" s="136"/>
      <c r="AE18" s="136" t="s">
        <v>90</v>
      </c>
      <c r="AF18" s="136">
        <v>0</v>
      </c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outlineLevel="1" x14ac:dyDescent="0.2">
      <c r="A19" s="137">
        <v>4</v>
      </c>
      <c r="B19" s="172">
        <v>944511111</v>
      </c>
      <c r="C19" s="160" t="s">
        <v>114</v>
      </c>
      <c r="D19" s="141" t="s">
        <v>94</v>
      </c>
      <c r="E19" s="144">
        <f>E22</f>
        <v>339.625</v>
      </c>
      <c r="F19" s="147"/>
      <c r="G19" s="148">
        <f>ROUND(E19*F19,2)</f>
        <v>0</v>
      </c>
      <c r="H19" s="147"/>
      <c r="I19" s="148">
        <f>ROUND(E19*H19,2)</f>
        <v>0</v>
      </c>
      <c r="J19" s="147"/>
      <c r="K19" s="148">
        <f>ROUND(E19*J19,2)</f>
        <v>0</v>
      </c>
      <c r="L19" s="148">
        <v>21</v>
      </c>
      <c r="M19" s="148">
        <f>G19*(1+L19/100)</f>
        <v>0</v>
      </c>
      <c r="N19" s="144">
        <v>0</v>
      </c>
      <c r="O19" s="144">
        <f>ROUND(E19*N19,2)</f>
        <v>0</v>
      </c>
      <c r="P19" s="144">
        <v>0</v>
      </c>
      <c r="Q19" s="144">
        <f>ROUND(E19*P19,2)</f>
        <v>0</v>
      </c>
      <c r="R19" s="148"/>
      <c r="S19" s="148"/>
      <c r="T19" s="149">
        <v>0.04</v>
      </c>
      <c r="U19" s="148">
        <f>ROUND(E19*T19,2)</f>
        <v>13.59</v>
      </c>
      <c r="V19" s="136"/>
      <c r="W19" s="136"/>
      <c r="X19" s="136"/>
      <c r="Y19" s="136"/>
      <c r="Z19" s="136"/>
      <c r="AA19" s="136"/>
      <c r="AB19" s="136"/>
      <c r="AC19" s="136"/>
      <c r="AD19" s="136"/>
      <c r="AE19" s="136" t="s">
        <v>92</v>
      </c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 x14ac:dyDescent="0.2">
      <c r="A20" s="137"/>
      <c r="B20" s="137"/>
      <c r="C20" s="161" t="s">
        <v>115</v>
      </c>
      <c r="D20" s="142"/>
      <c r="E20" s="145">
        <f>9.5*16*1.1</f>
        <v>167.20000000000002</v>
      </c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9"/>
      <c r="U20" s="148"/>
      <c r="V20" s="136"/>
      <c r="W20" s="136"/>
      <c r="X20" s="136"/>
      <c r="Y20" s="136"/>
      <c r="Z20" s="136"/>
      <c r="AA20" s="136"/>
      <c r="AB20" s="136"/>
      <c r="AC20" s="136"/>
      <c r="AD20" s="136"/>
      <c r="AE20" s="136" t="s">
        <v>90</v>
      </c>
      <c r="AF20" s="136">
        <v>0</v>
      </c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 x14ac:dyDescent="0.2">
      <c r="A21" s="137"/>
      <c r="B21" s="137"/>
      <c r="C21" s="161" t="s">
        <v>116</v>
      </c>
      <c r="D21" s="142"/>
      <c r="E21" s="169">
        <f>9.5*16.5*1.1</f>
        <v>172.42500000000001</v>
      </c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9"/>
      <c r="U21" s="148"/>
      <c r="V21" s="136"/>
      <c r="W21" s="136"/>
      <c r="X21" s="136"/>
      <c r="Y21" s="136"/>
      <c r="Z21" s="136"/>
      <c r="AA21" s="136"/>
      <c r="AB21" s="136"/>
      <c r="AC21" s="136"/>
      <c r="AD21" s="136"/>
      <c r="AE21" s="136" t="s">
        <v>90</v>
      </c>
      <c r="AF21" s="136">
        <v>0</v>
      </c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 x14ac:dyDescent="0.2">
      <c r="A22" s="167"/>
      <c r="B22" s="167"/>
      <c r="C22" s="170"/>
      <c r="D22" s="171"/>
      <c r="E22" s="169">
        <f>SUM(E20:E21)</f>
        <v>339.625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48"/>
      <c r="S22" s="148"/>
      <c r="T22" s="149"/>
      <c r="U22" s="148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 x14ac:dyDescent="0.2">
      <c r="A23" s="137">
        <v>5</v>
      </c>
      <c r="B23" s="137" t="s">
        <v>96</v>
      </c>
      <c r="C23" s="160" t="s">
        <v>117</v>
      </c>
      <c r="D23" s="141" t="s">
        <v>94</v>
      </c>
      <c r="E23" s="144">
        <f>E26</f>
        <v>339.625</v>
      </c>
      <c r="F23" s="147"/>
      <c r="G23" s="148">
        <f>ROUND(E23*F23,2)</f>
        <v>0</v>
      </c>
      <c r="H23" s="147"/>
      <c r="I23" s="148">
        <f>ROUND(E23*H23,2)</f>
        <v>0</v>
      </c>
      <c r="J23" s="147"/>
      <c r="K23" s="148">
        <f>ROUND(E23*J23,2)</f>
        <v>0</v>
      </c>
      <c r="L23" s="148">
        <v>21</v>
      </c>
      <c r="M23" s="148">
        <f>G23*(1+L23/100)</f>
        <v>0</v>
      </c>
      <c r="N23" s="144">
        <v>0</v>
      </c>
      <c r="O23" s="144">
        <f>ROUND(E23*N23,2)</f>
        <v>0</v>
      </c>
      <c r="P23" s="144">
        <v>0</v>
      </c>
      <c r="Q23" s="144">
        <f>ROUND(E23*P23,2)</f>
        <v>0</v>
      </c>
      <c r="R23" s="148"/>
      <c r="S23" s="148"/>
      <c r="T23" s="149">
        <v>2.4E-2</v>
      </c>
      <c r="U23" s="148">
        <f>ROUND(E23*T23,2)</f>
        <v>8.15</v>
      </c>
      <c r="V23" s="136"/>
      <c r="W23" s="136"/>
      <c r="X23" s="136"/>
      <c r="Y23" s="136"/>
      <c r="Z23" s="136"/>
      <c r="AA23" s="136"/>
      <c r="AB23" s="136"/>
      <c r="AC23" s="136"/>
      <c r="AD23" s="136"/>
      <c r="AE23" s="136" t="s">
        <v>92</v>
      </c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outlineLevel="1" x14ac:dyDescent="0.2">
      <c r="A24" s="137"/>
      <c r="B24" s="137"/>
      <c r="C24" s="161" t="s">
        <v>115</v>
      </c>
      <c r="D24" s="142"/>
      <c r="E24" s="145">
        <f>9.5*16*1.1</f>
        <v>167.20000000000002</v>
      </c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9"/>
      <c r="U24" s="148"/>
      <c r="V24" s="136"/>
      <c r="W24" s="136"/>
      <c r="X24" s="136"/>
      <c r="Y24" s="136"/>
      <c r="Z24" s="136"/>
      <c r="AA24" s="136"/>
      <c r="AB24" s="136"/>
      <c r="AC24" s="136"/>
      <c r="AD24" s="136"/>
      <c r="AE24" s="136" t="s">
        <v>90</v>
      </c>
      <c r="AF24" s="136">
        <v>0</v>
      </c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 x14ac:dyDescent="0.2">
      <c r="A25" s="137"/>
      <c r="B25" s="137"/>
      <c r="C25" s="161" t="s">
        <v>116</v>
      </c>
      <c r="D25" s="142"/>
      <c r="E25" s="169">
        <f>9.5*16.5*1.1</f>
        <v>172.42500000000001</v>
      </c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9"/>
      <c r="U25" s="148"/>
      <c r="V25" s="136"/>
      <c r="W25" s="136"/>
      <c r="X25" s="136"/>
      <c r="Y25" s="136"/>
      <c r="Z25" s="136"/>
      <c r="AA25" s="136"/>
      <c r="AB25" s="136"/>
      <c r="AC25" s="136"/>
      <c r="AD25" s="136"/>
      <c r="AE25" s="136" t="s">
        <v>90</v>
      </c>
      <c r="AF25" s="136">
        <v>0</v>
      </c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 x14ac:dyDescent="0.2">
      <c r="A26" s="167"/>
      <c r="B26" s="167"/>
      <c r="C26" s="170"/>
      <c r="D26" s="171"/>
      <c r="E26" s="169">
        <f>SUM(E24:E25)</f>
        <v>339.625</v>
      </c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48"/>
      <c r="S26" s="148"/>
      <c r="T26" s="149"/>
      <c r="U26" s="148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x14ac:dyDescent="0.2">
      <c r="A27" s="140" t="s">
        <v>86</v>
      </c>
      <c r="B27" s="235">
        <v>997</v>
      </c>
      <c r="C27" s="162" t="s">
        <v>184</v>
      </c>
      <c r="D27" s="143"/>
      <c r="E27" s="146"/>
      <c r="F27" s="150"/>
      <c r="G27" s="150">
        <f>SUMIF(AE28:AE40,"&lt;&gt;NOR",G28:G40)</f>
        <v>0</v>
      </c>
      <c r="H27" s="150"/>
      <c r="I27" s="150">
        <f>SUM(I28:I40)</f>
        <v>0</v>
      </c>
      <c r="J27" s="150"/>
      <c r="K27" s="150">
        <f>SUM(K28:K40)</f>
        <v>0</v>
      </c>
      <c r="L27" s="150"/>
      <c r="M27" s="150">
        <f>SUM(M28:M40)</f>
        <v>0</v>
      </c>
      <c r="N27" s="150"/>
      <c r="O27" s="146">
        <f>SUM(O28:O40)</f>
        <v>0</v>
      </c>
      <c r="P27" s="150"/>
      <c r="Q27" s="146">
        <f>SUM(Q28:Q40)</f>
        <v>0</v>
      </c>
      <c r="R27" s="150"/>
      <c r="S27" s="150"/>
      <c r="T27" s="151"/>
      <c r="U27" s="150">
        <f>SUM(U28:U40)</f>
        <v>3.19</v>
      </c>
      <c r="AE27" t="s">
        <v>87</v>
      </c>
    </row>
    <row r="28" spans="1:60" ht="33.75" outlineLevel="1" x14ac:dyDescent="0.2">
      <c r="A28" s="264">
        <v>6</v>
      </c>
      <c r="B28" s="206">
        <v>997013214</v>
      </c>
      <c r="C28" s="247" t="s">
        <v>185</v>
      </c>
      <c r="D28" s="246" t="s">
        <v>97</v>
      </c>
      <c r="E28" s="211">
        <f>E29</f>
        <v>6.04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11">
        <v>0</v>
      </c>
      <c r="O28" s="211">
        <f>ROUND(E28*N28,2)</f>
        <v>0</v>
      </c>
      <c r="P28" s="211">
        <v>0</v>
      </c>
      <c r="Q28" s="211">
        <f>ROUND(E28*P28,2)</f>
        <v>0</v>
      </c>
      <c r="R28" s="148"/>
      <c r="S28" s="148"/>
      <c r="T28" s="149">
        <v>0</v>
      </c>
      <c r="U28" s="148">
        <f>ROUND(E28*T28,2)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 t="s">
        <v>92</v>
      </c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 x14ac:dyDescent="0.2">
      <c r="A29" s="167"/>
      <c r="B29" s="180"/>
      <c r="C29" s="170" t="s">
        <v>231</v>
      </c>
      <c r="D29" s="171"/>
      <c r="E29" s="169">
        <f>2.67+2.66+0.71</f>
        <v>6.04</v>
      </c>
      <c r="F29" s="154"/>
      <c r="G29" s="154"/>
      <c r="H29" s="220"/>
      <c r="I29" s="220"/>
      <c r="J29" s="220"/>
      <c r="K29" s="220"/>
      <c r="L29" s="220"/>
      <c r="M29" s="220"/>
      <c r="N29" s="154"/>
      <c r="O29" s="154"/>
      <c r="P29" s="154"/>
      <c r="Q29" s="154"/>
      <c r="R29" s="203"/>
      <c r="S29" s="148"/>
      <c r="T29" s="149"/>
      <c r="U29" s="148"/>
      <c r="V29" s="213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ht="22.5" outlineLevel="1" x14ac:dyDescent="0.2">
      <c r="A30" s="167">
        <v>7</v>
      </c>
      <c r="B30" s="226">
        <v>997013501</v>
      </c>
      <c r="C30" s="250" t="s">
        <v>186</v>
      </c>
      <c r="D30" s="251" t="s">
        <v>97</v>
      </c>
      <c r="E30" s="221">
        <v>5</v>
      </c>
      <c r="F30" s="218"/>
      <c r="G30" s="179">
        <f>ROUND(E30*F30,2)</f>
        <v>0</v>
      </c>
      <c r="H30" s="178"/>
      <c r="I30" s="179"/>
      <c r="J30" s="178"/>
      <c r="K30" s="179"/>
      <c r="L30" s="179"/>
      <c r="M30" s="179"/>
      <c r="N30" s="177">
        <v>0</v>
      </c>
      <c r="O30" s="177">
        <f t="shared" ref="O30" si="0">ROUND(E30*N30,2)</f>
        <v>0</v>
      </c>
      <c r="P30" s="177">
        <v>0</v>
      </c>
      <c r="Q30" s="177">
        <f t="shared" ref="Q30" si="1">ROUND(E30*P30,2)</f>
        <v>0</v>
      </c>
      <c r="R30" s="148"/>
      <c r="S30" s="148"/>
      <c r="T30" s="149">
        <v>0.63800000000000001</v>
      </c>
      <c r="U30" s="148">
        <f>ROUND(E30*T30,2)</f>
        <v>3.19</v>
      </c>
      <c r="V30" s="136"/>
      <c r="W30" s="136"/>
      <c r="X30" s="136"/>
      <c r="Y30" s="136"/>
      <c r="Z30" s="136"/>
      <c r="AA30" s="136"/>
      <c r="AB30" s="136"/>
      <c r="AC30" s="136"/>
      <c r="AD30" s="136"/>
      <c r="AE30" s="136" t="s">
        <v>92</v>
      </c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ht="22.5" outlineLevel="1" x14ac:dyDescent="0.2">
      <c r="A31" s="137">
        <v>8</v>
      </c>
      <c r="B31" s="172">
        <v>997013501</v>
      </c>
      <c r="C31" s="214" t="s">
        <v>186</v>
      </c>
      <c r="D31" s="215" t="s">
        <v>97</v>
      </c>
      <c r="E31" s="216">
        <f>E32</f>
        <v>3.38</v>
      </c>
      <c r="F31" s="260"/>
      <c r="G31" s="212">
        <f>ROUND(E31*F31,2)</f>
        <v>0</v>
      </c>
      <c r="H31" s="204"/>
      <c r="I31" s="205"/>
      <c r="J31" s="204"/>
      <c r="K31" s="205"/>
      <c r="L31" s="205"/>
      <c r="M31" s="205"/>
      <c r="N31" s="210">
        <v>0</v>
      </c>
      <c r="O31" s="210">
        <f t="shared" ref="O31" si="2">ROUND(E31*N31,2)</f>
        <v>0</v>
      </c>
      <c r="P31" s="210">
        <v>0</v>
      </c>
      <c r="Q31" s="210">
        <f t="shared" ref="Q31" si="3">ROUND(E31*P31,2)</f>
        <v>0</v>
      </c>
      <c r="R31" s="203"/>
      <c r="S31" s="148"/>
      <c r="T31" s="149"/>
      <c r="U31" s="148"/>
      <c r="V31" s="213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outlineLevel="1" x14ac:dyDescent="0.2">
      <c r="A32" s="167"/>
      <c r="B32" s="226"/>
      <c r="C32" s="170" t="s">
        <v>232</v>
      </c>
      <c r="D32" s="171"/>
      <c r="E32" s="169">
        <f>2.67+0.71</f>
        <v>3.38</v>
      </c>
      <c r="F32" s="222"/>
      <c r="G32" s="154"/>
      <c r="H32" s="219"/>
      <c r="I32" s="220"/>
      <c r="J32" s="219"/>
      <c r="K32" s="220"/>
      <c r="L32" s="220"/>
      <c r="M32" s="220"/>
      <c r="N32" s="221"/>
      <c r="O32" s="221"/>
      <c r="P32" s="221"/>
      <c r="Q32" s="221"/>
      <c r="R32" s="203"/>
      <c r="S32" s="148"/>
      <c r="T32" s="149"/>
      <c r="U32" s="148"/>
      <c r="V32" s="213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22.5" outlineLevel="1" x14ac:dyDescent="0.2">
      <c r="A33" s="137">
        <v>9</v>
      </c>
      <c r="B33" s="172">
        <v>997013509</v>
      </c>
      <c r="C33" s="214" t="s">
        <v>187</v>
      </c>
      <c r="D33" s="262" t="s">
        <v>97</v>
      </c>
      <c r="E33" s="261">
        <f>E34</f>
        <v>40.56</v>
      </c>
      <c r="F33" s="147"/>
      <c r="G33" s="148">
        <f>ROUND(E33*F33,2)</f>
        <v>0</v>
      </c>
      <c r="H33" s="148"/>
      <c r="I33" s="148"/>
      <c r="J33" s="148"/>
      <c r="K33" s="148"/>
      <c r="L33" s="148"/>
      <c r="M33" s="148"/>
      <c r="N33" s="144">
        <v>0</v>
      </c>
      <c r="O33" s="144">
        <f t="shared" ref="O33" si="4">ROUND(E33*N33,2)</f>
        <v>0</v>
      </c>
      <c r="P33" s="144">
        <v>0</v>
      </c>
      <c r="Q33" s="144">
        <f t="shared" ref="Q33" si="5">ROUND(E33*P33,2)</f>
        <v>0</v>
      </c>
      <c r="R33" s="148"/>
      <c r="S33" s="148"/>
      <c r="T33" s="149"/>
      <c r="U33" s="148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 x14ac:dyDescent="0.2">
      <c r="A34" s="180"/>
      <c r="B34" s="226"/>
      <c r="C34" s="227" t="s">
        <v>233</v>
      </c>
      <c r="D34" s="236"/>
      <c r="E34" s="228">
        <f>(2.67+0.71)*12</f>
        <v>40.56</v>
      </c>
      <c r="F34" s="222"/>
      <c r="G34" s="237"/>
      <c r="H34" s="153"/>
      <c r="I34" s="153"/>
      <c r="J34" s="153"/>
      <c r="K34" s="153"/>
      <c r="L34" s="153"/>
      <c r="M34" s="153"/>
      <c r="N34" s="238"/>
      <c r="O34" s="238"/>
      <c r="P34" s="238"/>
      <c r="Q34" s="238"/>
      <c r="R34" s="148"/>
      <c r="S34" s="148"/>
      <c r="T34" s="149"/>
      <c r="U34" s="148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ht="22.5" outlineLevel="1" x14ac:dyDescent="0.2">
      <c r="A35" s="137">
        <v>10</v>
      </c>
      <c r="B35" s="172">
        <v>997013811</v>
      </c>
      <c r="C35" s="247" t="s">
        <v>188</v>
      </c>
      <c r="D35" s="182" t="s">
        <v>97</v>
      </c>
      <c r="E35" s="183">
        <f>E36</f>
        <v>2.67</v>
      </c>
      <c r="F35" s="147"/>
      <c r="G35" s="148">
        <f>ROUND(E35*F35,2)</f>
        <v>0</v>
      </c>
      <c r="H35" s="148"/>
      <c r="I35" s="148"/>
      <c r="J35" s="148"/>
      <c r="K35" s="148"/>
      <c r="L35" s="148"/>
      <c r="M35" s="148"/>
      <c r="N35" s="144">
        <v>0</v>
      </c>
      <c r="O35" s="144">
        <f t="shared" ref="O35" si="6">ROUND(E35*N35,2)</f>
        <v>0</v>
      </c>
      <c r="P35" s="144">
        <v>0</v>
      </c>
      <c r="Q35" s="144">
        <f t="shared" ref="Q35" si="7">ROUND(E35*P35,2)</f>
        <v>0</v>
      </c>
      <c r="R35" s="148"/>
      <c r="S35" s="148"/>
      <c r="T35" s="149"/>
      <c r="U35" s="148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outlineLevel="1" x14ac:dyDescent="0.2">
      <c r="A36" s="167"/>
      <c r="B36" s="167"/>
      <c r="C36" s="202">
        <v>2.67</v>
      </c>
      <c r="D36" s="171"/>
      <c r="E36" s="169">
        <v>2.67</v>
      </c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48"/>
      <c r="S36" s="148"/>
      <c r="T36" s="149"/>
      <c r="U36" s="148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ht="33.75" outlineLevel="1" x14ac:dyDescent="0.2">
      <c r="A37" s="137">
        <v>11</v>
      </c>
      <c r="B37" s="137" t="s">
        <v>192</v>
      </c>
      <c r="C37" s="247" t="s">
        <v>208</v>
      </c>
      <c r="D37" s="182" t="s">
        <v>97</v>
      </c>
      <c r="E37" s="145">
        <f>E38</f>
        <v>0.71</v>
      </c>
      <c r="F37" s="147"/>
      <c r="G37" s="148">
        <f>ROUND(E37*F37,2)</f>
        <v>0</v>
      </c>
      <c r="H37" s="148"/>
      <c r="I37" s="148"/>
      <c r="J37" s="148"/>
      <c r="K37" s="148"/>
      <c r="L37" s="148"/>
      <c r="M37" s="148"/>
      <c r="N37" s="144">
        <v>0</v>
      </c>
      <c r="O37" s="144">
        <f t="shared" ref="O37" si="8">ROUND(E37*N37,2)</f>
        <v>0</v>
      </c>
      <c r="P37" s="144">
        <v>0</v>
      </c>
      <c r="Q37" s="144">
        <f t="shared" ref="Q37" si="9">ROUND(E37*P37,2)</f>
        <v>0</v>
      </c>
      <c r="R37" s="148"/>
      <c r="S37" s="148"/>
      <c r="T37" s="149"/>
      <c r="U37" s="148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outlineLevel="1" x14ac:dyDescent="0.2">
      <c r="A38" s="137"/>
      <c r="B38" s="137"/>
      <c r="C38" s="225">
        <v>0.71</v>
      </c>
      <c r="D38" s="142"/>
      <c r="E38" s="169">
        <v>0.71</v>
      </c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9"/>
      <c r="U38" s="148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45" outlineLevel="1" x14ac:dyDescent="0.2">
      <c r="A39" s="264">
        <v>12</v>
      </c>
      <c r="B39" s="206" t="s">
        <v>192</v>
      </c>
      <c r="C39" s="252" t="s">
        <v>193</v>
      </c>
      <c r="D39" s="246" t="s">
        <v>97</v>
      </c>
      <c r="E39" s="233">
        <f>E40</f>
        <v>2.66</v>
      </c>
      <c r="F39" s="248"/>
      <c r="G39" s="148">
        <f>ROUND(E39*F39,2)</f>
        <v>0</v>
      </c>
      <c r="H39" s="148"/>
      <c r="I39" s="148"/>
      <c r="J39" s="148"/>
      <c r="K39" s="148"/>
      <c r="L39" s="148"/>
      <c r="M39" s="148"/>
      <c r="N39" s="144">
        <v>0</v>
      </c>
      <c r="O39" s="144">
        <f t="shared" ref="O39" si="10">ROUND(E39*N39,2)</f>
        <v>0</v>
      </c>
      <c r="P39" s="144">
        <v>0</v>
      </c>
      <c r="Q39" s="144">
        <f t="shared" ref="Q39" si="11">ROUND(E39*P39,2)</f>
        <v>0</v>
      </c>
      <c r="R39" s="148"/>
      <c r="S39" s="148"/>
      <c r="T39" s="149"/>
      <c r="U39" s="148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outlineLevel="1" x14ac:dyDescent="0.2">
      <c r="A40" s="167"/>
      <c r="B40" s="226"/>
      <c r="C40" s="253">
        <v>2.66</v>
      </c>
      <c r="D40" s="251"/>
      <c r="E40" s="228">
        <v>2.66</v>
      </c>
      <c r="F40" s="222"/>
      <c r="G40" s="154"/>
      <c r="H40" s="220"/>
      <c r="I40" s="220"/>
      <c r="J40" s="220"/>
      <c r="K40" s="220"/>
      <c r="L40" s="220"/>
      <c r="M40" s="220"/>
      <c r="N40" s="221"/>
      <c r="O40" s="221"/>
      <c r="P40" s="221"/>
      <c r="Q40" s="221"/>
      <c r="R40" s="203"/>
      <c r="S40" s="148"/>
      <c r="T40" s="149"/>
      <c r="U40" s="148"/>
      <c r="V40" s="213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x14ac:dyDescent="0.2">
      <c r="A41" s="140" t="s">
        <v>86</v>
      </c>
      <c r="B41" s="140" t="s">
        <v>52</v>
      </c>
      <c r="C41" s="162" t="s">
        <v>53</v>
      </c>
      <c r="D41" s="143"/>
      <c r="E41" s="146"/>
      <c r="F41" s="150"/>
      <c r="G41" s="150">
        <f>SUMIF(AE42:AE83,"&lt;&gt;NOR",G42:G83)</f>
        <v>0</v>
      </c>
      <c r="H41" s="150"/>
      <c r="I41" s="150">
        <f>SUM(I42:I83)</f>
        <v>0</v>
      </c>
      <c r="J41" s="150"/>
      <c r="K41" s="150">
        <f>SUM(K42:K83)</f>
        <v>0</v>
      </c>
      <c r="L41" s="150"/>
      <c r="M41" s="150">
        <f>SUM(M42:M83)</f>
        <v>0</v>
      </c>
      <c r="N41" s="150"/>
      <c r="O41" s="146">
        <f>SUM(O42:O83)</f>
        <v>9.2899999999999991</v>
      </c>
      <c r="P41" s="150"/>
      <c r="Q41" s="146">
        <f>SUM(Q42:Q83)</f>
        <v>2.67</v>
      </c>
      <c r="R41" s="150"/>
      <c r="S41" s="150"/>
      <c r="T41" s="151"/>
      <c r="U41" s="150">
        <f>SUM(U42:U83)</f>
        <v>26.06</v>
      </c>
      <c r="AE41" t="s">
        <v>87</v>
      </c>
    </row>
    <row r="42" spans="1:60" ht="22.5" outlineLevel="1" x14ac:dyDescent="0.2">
      <c r="A42" s="137">
        <v>13</v>
      </c>
      <c r="B42" s="172">
        <v>762341911</v>
      </c>
      <c r="C42" s="181" t="s">
        <v>147</v>
      </c>
      <c r="D42" s="182" t="s">
        <v>94</v>
      </c>
      <c r="E42" s="183">
        <f>E44</f>
        <v>1</v>
      </c>
      <c r="F42" s="147"/>
      <c r="G42" s="148">
        <f>ROUND(E42*F42,2)</f>
        <v>0</v>
      </c>
      <c r="H42" s="184"/>
      <c r="I42" s="148">
        <f>ROUND(E42*H42,2)</f>
        <v>0</v>
      </c>
      <c r="J42" s="184"/>
      <c r="K42" s="148">
        <f>ROUND(E42*J42,2)</f>
        <v>0</v>
      </c>
      <c r="L42" s="148">
        <v>21</v>
      </c>
      <c r="M42" s="148">
        <f>G42*(1+L42/100)</f>
        <v>0</v>
      </c>
      <c r="N42" s="144">
        <v>0</v>
      </c>
      <c r="O42" s="144">
        <f>ROUND(E42*N42,2)</f>
        <v>0</v>
      </c>
      <c r="P42" s="144">
        <v>7.0000000000000001E-3</v>
      </c>
      <c r="Q42" s="144">
        <f>ROUND(E42*P42,2)</f>
        <v>0.01</v>
      </c>
      <c r="R42" s="148"/>
      <c r="S42" s="148"/>
      <c r="T42" s="149"/>
      <c r="U42" s="148"/>
      <c r="V42" s="136"/>
      <c r="W42" s="136"/>
      <c r="X42" s="136"/>
      <c r="Y42" s="136"/>
      <c r="Z42" s="136"/>
      <c r="AA42" s="136"/>
      <c r="AB42" s="136"/>
      <c r="AC42" s="136"/>
      <c r="AD42" s="136"/>
      <c r="AE42" s="136" t="s">
        <v>90</v>
      </c>
      <c r="AF42" s="136">
        <v>0</v>
      </c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outlineLevel="1" x14ac:dyDescent="0.2">
      <c r="A43" s="137"/>
      <c r="B43" s="137"/>
      <c r="C43" s="166" t="s">
        <v>148</v>
      </c>
      <c r="D43" s="182"/>
      <c r="E43" s="183"/>
      <c r="F43" s="184"/>
      <c r="G43" s="148"/>
      <c r="H43" s="184"/>
      <c r="I43" s="148"/>
      <c r="J43" s="184"/>
      <c r="K43" s="148"/>
      <c r="L43" s="148"/>
      <c r="M43" s="148"/>
      <c r="N43" s="144"/>
      <c r="O43" s="144"/>
      <c r="P43" s="144"/>
      <c r="Q43" s="144"/>
      <c r="R43" s="148"/>
      <c r="S43" s="148"/>
      <c r="T43" s="149"/>
      <c r="U43" s="148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outlineLevel="1" x14ac:dyDescent="0.2">
      <c r="A44" s="167"/>
      <c r="B44" s="167"/>
      <c r="C44" s="202">
        <v>1</v>
      </c>
      <c r="D44" s="171"/>
      <c r="E44" s="169">
        <v>1</v>
      </c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48"/>
      <c r="S44" s="148"/>
      <c r="T44" s="149"/>
      <c r="U44" s="148"/>
      <c r="V44" s="136"/>
      <c r="W44" s="136"/>
      <c r="X44" s="136"/>
      <c r="Y44" s="136"/>
      <c r="Z44" s="136"/>
      <c r="AA44" s="136"/>
      <c r="AB44" s="136"/>
      <c r="AC44" s="136"/>
      <c r="AD44" s="136"/>
      <c r="AE44" s="136" t="s">
        <v>90</v>
      </c>
      <c r="AF44" s="136">
        <v>0</v>
      </c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ht="22.5" outlineLevel="1" x14ac:dyDescent="0.2">
      <c r="A45" s="137">
        <v>14</v>
      </c>
      <c r="B45" s="172">
        <v>762342211</v>
      </c>
      <c r="C45" s="160" t="s">
        <v>126</v>
      </c>
      <c r="D45" s="141" t="s">
        <v>94</v>
      </c>
      <c r="E45" s="144">
        <f>E50</f>
        <v>52.875999999999998</v>
      </c>
      <c r="F45" s="147"/>
      <c r="G45" s="148">
        <f>ROUND(E45*F45,2)</f>
        <v>0</v>
      </c>
      <c r="H45" s="184"/>
      <c r="I45" s="148">
        <f>ROUND(E45*H45,2)</f>
        <v>0</v>
      </c>
      <c r="J45" s="184"/>
      <c r="K45" s="148">
        <f>ROUND(E45*J45,2)</f>
        <v>0</v>
      </c>
      <c r="L45" s="148">
        <v>21</v>
      </c>
      <c r="M45" s="148">
        <f>G45*(1+L45/100)</f>
        <v>0</v>
      </c>
      <c r="N45" s="144">
        <v>0</v>
      </c>
      <c r="O45" s="144">
        <f>ROUND(E45*N45,2)</f>
        <v>0</v>
      </c>
      <c r="P45" s="144">
        <v>0</v>
      </c>
      <c r="Q45" s="144">
        <f>ROUND(E45*P45,2)</f>
        <v>0</v>
      </c>
      <c r="R45" s="148"/>
      <c r="S45" s="148"/>
      <c r="T45" s="149"/>
      <c r="U45" s="148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ht="22.5" outlineLevel="1" x14ac:dyDescent="0.2">
      <c r="A46" s="189"/>
      <c r="B46" s="190"/>
      <c r="C46" s="166" t="s">
        <v>128</v>
      </c>
      <c r="D46" s="191"/>
      <c r="E46" s="189"/>
      <c r="F46" s="189"/>
      <c r="G46" s="189"/>
      <c r="N46" s="189"/>
      <c r="O46" s="189"/>
      <c r="P46" s="189"/>
      <c r="Q46" s="192"/>
      <c r="R46" s="148"/>
      <c r="S46" s="148"/>
      <c r="T46" s="149"/>
      <c r="U46" s="148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 x14ac:dyDescent="0.2">
      <c r="A47" s="189"/>
      <c r="B47" s="190"/>
      <c r="C47" s="161" t="s">
        <v>143</v>
      </c>
      <c r="D47" s="142"/>
      <c r="E47" s="145">
        <f>(11.4+12.72)*1</f>
        <v>24.12</v>
      </c>
      <c r="F47" s="189"/>
      <c r="G47" s="189"/>
      <c r="N47" s="189"/>
      <c r="O47" s="189"/>
      <c r="P47" s="189"/>
      <c r="Q47" s="192"/>
      <c r="R47" s="148"/>
      <c r="S47" s="148"/>
      <c r="T47" s="149"/>
      <c r="U47" s="148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outlineLevel="1" x14ac:dyDescent="0.2">
      <c r="A48" s="189"/>
      <c r="B48" s="190"/>
      <c r="C48" s="161" t="s">
        <v>144</v>
      </c>
      <c r="D48" s="142"/>
      <c r="E48" s="145">
        <f>((11.4-0.5)+(12.72-0.5)*1.2)</f>
        <v>25.564</v>
      </c>
      <c r="F48" s="189"/>
      <c r="G48" s="189"/>
      <c r="N48" s="189"/>
      <c r="O48" s="189"/>
      <c r="P48" s="189"/>
      <c r="Q48" s="192"/>
      <c r="R48" s="148"/>
      <c r="S48" s="148"/>
      <c r="T48" s="149"/>
      <c r="U48" s="148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outlineLevel="1" x14ac:dyDescent="0.2">
      <c r="A49" s="189"/>
      <c r="B49" s="190"/>
      <c r="C49" s="161" t="s">
        <v>138</v>
      </c>
      <c r="D49" s="142"/>
      <c r="E49" s="169">
        <f>((0.4*2)+0.6)*2.28</f>
        <v>3.1919999999999997</v>
      </c>
      <c r="F49" s="189"/>
      <c r="G49" s="189"/>
      <c r="N49" s="189"/>
      <c r="O49" s="189"/>
      <c r="P49" s="189"/>
      <c r="Q49" s="192"/>
      <c r="R49" s="148"/>
      <c r="S49" s="148"/>
      <c r="T49" s="149"/>
      <c r="U49" s="148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outlineLevel="1" x14ac:dyDescent="0.2">
      <c r="A50" s="193"/>
      <c r="B50" s="194"/>
      <c r="C50" s="170"/>
      <c r="D50" s="171"/>
      <c r="E50" s="169">
        <f>SUM(E47:E49)</f>
        <v>52.875999999999998</v>
      </c>
      <c r="F50" s="193"/>
      <c r="G50" s="193"/>
      <c r="H50" s="15"/>
      <c r="I50" s="15"/>
      <c r="J50" s="15"/>
      <c r="K50" s="15"/>
      <c r="L50" s="15"/>
      <c r="M50" s="15"/>
      <c r="N50" s="193"/>
      <c r="O50" s="193"/>
      <c r="P50" s="193"/>
      <c r="Q50" s="195"/>
      <c r="R50" s="148"/>
      <c r="S50" s="148"/>
      <c r="T50" s="149"/>
      <c r="U50" s="148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ht="22.5" outlineLevel="1" x14ac:dyDescent="0.2">
      <c r="A51" s="137">
        <v>15</v>
      </c>
      <c r="B51" s="172">
        <v>762342211</v>
      </c>
      <c r="C51" s="160" t="s">
        <v>124</v>
      </c>
      <c r="D51" s="141" t="s">
        <v>94</v>
      </c>
      <c r="E51" s="144">
        <f>E54</f>
        <v>326.81820000000005</v>
      </c>
      <c r="F51" s="147"/>
      <c r="G51" s="148">
        <f>ROUND(E51*F51,2)</f>
        <v>0</v>
      </c>
      <c r="H51" s="184"/>
      <c r="I51" s="148">
        <f>ROUND(E51*H51,2)</f>
        <v>0</v>
      </c>
      <c r="J51" s="184"/>
      <c r="K51" s="148">
        <f>ROUND(E51*J51,2)</f>
        <v>0</v>
      </c>
      <c r="L51" s="148">
        <v>21</v>
      </c>
      <c r="M51" s="148">
        <f>G51*(1+L51/100)</f>
        <v>0</v>
      </c>
      <c r="N51" s="144">
        <v>0</v>
      </c>
      <c r="O51" s="144">
        <f>ROUND(E51*N51,2)</f>
        <v>0</v>
      </c>
      <c r="P51" s="144">
        <v>0</v>
      </c>
      <c r="Q51" s="144">
        <f>ROUND(E51*P51,2)</f>
        <v>0</v>
      </c>
      <c r="R51" s="148"/>
      <c r="S51" s="148"/>
      <c r="T51" s="149"/>
      <c r="U51" s="148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outlineLevel="1" x14ac:dyDescent="0.2">
      <c r="A52" s="189"/>
      <c r="B52" s="190"/>
      <c r="C52" s="161" t="s">
        <v>145</v>
      </c>
      <c r="D52" s="142"/>
      <c r="E52" s="145">
        <f>(11.4)*((15.515-(1+1.2)))</f>
        <v>151.79100000000003</v>
      </c>
      <c r="F52" s="189"/>
      <c r="G52" s="189"/>
      <c r="N52" s="189"/>
      <c r="O52" s="189"/>
      <c r="P52" s="189"/>
      <c r="Q52" s="192"/>
      <c r="R52" s="148"/>
      <c r="S52" s="148"/>
      <c r="T52" s="149"/>
      <c r="U52" s="148"/>
      <c r="V52" s="136"/>
      <c r="W52" s="136"/>
      <c r="X52" s="136"/>
      <c r="Y52" s="201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outlineLevel="1" x14ac:dyDescent="0.2">
      <c r="A53" s="189"/>
      <c r="B53" s="190"/>
      <c r="C53" s="161" t="s">
        <v>146</v>
      </c>
      <c r="D53" s="142"/>
      <c r="E53" s="169">
        <f>(12.72)*((15.96-(1+1.2)))</f>
        <v>175.02720000000002</v>
      </c>
      <c r="F53" s="189"/>
      <c r="G53" s="189"/>
      <c r="N53" s="189"/>
      <c r="O53" s="189"/>
      <c r="P53" s="189"/>
      <c r="Q53" s="192"/>
      <c r="R53" s="148"/>
      <c r="S53" s="148"/>
      <c r="T53" s="149"/>
      <c r="U53" s="148"/>
      <c r="V53" s="136"/>
      <c r="W53" s="136"/>
      <c r="X53" s="136"/>
      <c r="Y53" s="201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outlineLevel="1" x14ac:dyDescent="0.2">
      <c r="A54" s="193"/>
      <c r="B54" s="198"/>
      <c r="C54" s="170"/>
      <c r="D54" s="199"/>
      <c r="E54" s="169">
        <f>SUM(E52:E53)</f>
        <v>326.81820000000005</v>
      </c>
      <c r="F54" s="193"/>
      <c r="G54" s="193"/>
      <c r="H54" s="15"/>
      <c r="I54" s="15"/>
      <c r="J54" s="15"/>
      <c r="K54" s="15"/>
      <c r="L54" s="15"/>
      <c r="M54" s="15"/>
      <c r="N54" s="193"/>
      <c r="O54" s="193"/>
      <c r="P54" s="193"/>
      <c r="Q54" s="195"/>
      <c r="R54" s="148"/>
      <c r="S54" s="148"/>
      <c r="T54" s="149"/>
      <c r="U54" s="148"/>
      <c r="V54" s="136"/>
      <c r="W54" s="136"/>
      <c r="X54" s="136"/>
      <c r="Y54" s="201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outlineLevel="1" x14ac:dyDescent="0.2">
      <c r="A55" s="137">
        <v>16</v>
      </c>
      <c r="B55" s="172">
        <v>762342441</v>
      </c>
      <c r="C55" s="160" t="s">
        <v>257</v>
      </c>
      <c r="D55" s="200" t="s">
        <v>88</v>
      </c>
      <c r="E55" s="233">
        <f>E56</f>
        <v>410.04</v>
      </c>
      <c r="F55" s="147"/>
      <c r="G55" s="148">
        <f>ROUND(E55*F55,2)</f>
        <v>0</v>
      </c>
      <c r="H55" s="184"/>
      <c r="I55" s="148">
        <f>ROUND(E55*H55,2)</f>
        <v>0</v>
      </c>
      <c r="J55" s="184"/>
      <c r="K55" s="148">
        <f>ROUND(E55*J55,2)</f>
        <v>0</v>
      </c>
      <c r="L55" s="148">
        <v>21</v>
      </c>
      <c r="M55" s="148">
        <f>G55*(1+L55/100)</f>
        <v>0</v>
      </c>
      <c r="N55" s="144">
        <v>0</v>
      </c>
      <c r="O55" s="144">
        <f>ROUND(E55*N55,2)</f>
        <v>0</v>
      </c>
      <c r="P55" s="144">
        <v>0</v>
      </c>
      <c r="Q55" s="144">
        <f>ROUND(E55*P55,2)</f>
        <v>0</v>
      </c>
      <c r="R55" s="148"/>
      <c r="S55" s="148"/>
      <c r="T55" s="149"/>
      <c r="U55" s="148"/>
      <c r="V55" s="136"/>
      <c r="W55" s="136"/>
      <c r="X55" s="136"/>
      <c r="Y55" s="201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outlineLevel="1" x14ac:dyDescent="0.2">
      <c r="A56" s="193"/>
      <c r="B56" s="198"/>
      <c r="C56" s="170" t="s">
        <v>258</v>
      </c>
      <c r="D56" s="171"/>
      <c r="E56" s="169">
        <f>17*(11.4+12.72)</f>
        <v>410.04</v>
      </c>
      <c r="F56" s="193"/>
      <c r="G56" s="193"/>
      <c r="H56" s="15"/>
      <c r="I56" s="15"/>
      <c r="J56" s="15"/>
      <c r="K56" s="15"/>
      <c r="L56" s="15"/>
      <c r="M56" s="15"/>
      <c r="N56" s="193"/>
      <c r="O56" s="193"/>
      <c r="P56" s="193"/>
      <c r="Q56" s="195"/>
      <c r="R56" s="148"/>
      <c r="S56" s="148"/>
      <c r="T56" s="149"/>
      <c r="U56" s="148"/>
      <c r="V56" s="136"/>
      <c r="W56" s="136"/>
      <c r="X56" s="136"/>
      <c r="Y56" s="201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outlineLevel="1" x14ac:dyDescent="0.2">
      <c r="A57" s="137">
        <v>17</v>
      </c>
      <c r="B57" s="137" t="s">
        <v>109</v>
      </c>
      <c r="C57" s="181" t="s">
        <v>125</v>
      </c>
      <c r="D57" s="200" t="s">
        <v>98</v>
      </c>
      <c r="E57" s="197">
        <f>E75</f>
        <v>10.630125739247314</v>
      </c>
      <c r="F57" s="147"/>
      <c r="G57" s="148">
        <f>ROUND(E57*F57,2)</f>
        <v>0</v>
      </c>
      <c r="H57" s="184"/>
      <c r="I57" s="148">
        <f>ROUND(E57*H57,2)</f>
        <v>0</v>
      </c>
      <c r="J57" s="184"/>
      <c r="K57" s="148">
        <f>ROUND(E57*J57,2)</f>
        <v>0</v>
      </c>
      <c r="L57" s="148">
        <v>21</v>
      </c>
      <c r="M57" s="148">
        <f>G57*(1+L57/100)</f>
        <v>0</v>
      </c>
      <c r="N57" s="144">
        <v>0.85</v>
      </c>
      <c r="O57" s="144">
        <f>ROUND(E57*N57,2)</f>
        <v>9.0399999999999991</v>
      </c>
      <c r="P57" s="144">
        <v>0</v>
      </c>
      <c r="Q57" s="144">
        <f>ROUND(E57*P57,2)</f>
        <v>0</v>
      </c>
      <c r="R57" s="148"/>
      <c r="S57" s="148"/>
      <c r="T57" s="149"/>
      <c r="U57" s="148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outlineLevel="1" x14ac:dyDescent="0.2">
      <c r="A58" s="189"/>
      <c r="B58" s="190"/>
      <c r="C58" s="166" t="s">
        <v>127</v>
      </c>
      <c r="D58" s="196"/>
      <c r="E58" s="197"/>
      <c r="F58" s="189"/>
      <c r="G58" s="189"/>
      <c r="N58" s="189"/>
      <c r="O58" s="189"/>
      <c r="P58" s="189"/>
      <c r="Q58" s="192"/>
      <c r="R58" s="148"/>
      <c r="S58" s="148"/>
      <c r="T58" s="149"/>
      <c r="U58" s="148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22.5" outlineLevel="1" x14ac:dyDescent="0.2">
      <c r="A59" s="189"/>
      <c r="B59" s="190"/>
      <c r="C59" s="161" t="s">
        <v>133</v>
      </c>
      <c r="D59" s="196"/>
      <c r="E59" s="145">
        <f>((11.4-0.5)/1.05*5*15.515*(0.05*0.07)*1.1)</f>
        <v>3.1004141666666674</v>
      </c>
      <c r="F59" s="189"/>
      <c r="G59" s="189"/>
      <c r="N59" s="189"/>
      <c r="O59" s="189"/>
      <c r="P59" s="189"/>
      <c r="Q59" s="192"/>
      <c r="R59" s="148"/>
      <c r="S59" s="148"/>
      <c r="T59" s="149"/>
      <c r="U59" s="148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22.5" outlineLevel="1" x14ac:dyDescent="0.2">
      <c r="A60" s="189"/>
      <c r="B60" s="190"/>
      <c r="C60" s="166" t="s">
        <v>129</v>
      </c>
      <c r="D60" s="196"/>
      <c r="E60" s="145"/>
      <c r="F60" s="189"/>
      <c r="G60" s="189"/>
      <c r="N60" s="189"/>
      <c r="O60" s="189"/>
      <c r="P60" s="189"/>
      <c r="Q60" s="192"/>
      <c r="R60" s="148"/>
      <c r="S60" s="148"/>
      <c r="T60" s="149"/>
      <c r="U60" s="148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33.75" customHeight="1" outlineLevel="1" x14ac:dyDescent="0.2">
      <c r="A61" s="189"/>
      <c r="B61" s="190"/>
      <c r="C61" s="161" t="s">
        <v>134</v>
      </c>
      <c r="D61" s="196"/>
      <c r="E61" s="145">
        <f>((11.4-0.5)/1.05)*5*(1+1.2)*(0.05*0.07)*1.1</f>
        <v>0.43963333333333349</v>
      </c>
      <c r="F61" s="189"/>
      <c r="G61" s="189"/>
      <c r="N61" s="189"/>
      <c r="O61" s="189"/>
      <c r="P61" s="189"/>
      <c r="Q61" s="192"/>
      <c r="R61" s="148"/>
      <c r="S61" s="148"/>
      <c r="T61" s="149"/>
      <c r="U61" s="148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12.75" customHeight="1" outlineLevel="1" x14ac:dyDescent="0.2">
      <c r="A62" s="189"/>
      <c r="B62" s="190"/>
      <c r="C62" s="166" t="s">
        <v>130</v>
      </c>
      <c r="D62" s="196"/>
      <c r="E62" s="145"/>
      <c r="F62" s="189"/>
      <c r="G62" s="189"/>
      <c r="N62" s="189"/>
      <c r="O62" s="189"/>
      <c r="P62" s="189"/>
      <c r="Q62" s="192"/>
      <c r="R62" s="148"/>
      <c r="S62" s="148"/>
      <c r="T62" s="149"/>
      <c r="U62" s="148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outlineLevel="1" x14ac:dyDescent="0.2">
      <c r="A63" s="189"/>
      <c r="B63" s="190"/>
      <c r="C63" s="161" t="s">
        <v>132</v>
      </c>
      <c r="D63" s="142"/>
      <c r="E63" s="145">
        <f>(7*15.515)*(0.05*0.07)*1.1</f>
        <v>0.41812925000000012</v>
      </c>
      <c r="F63" s="189"/>
      <c r="G63" s="189"/>
      <c r="N63" s="189"/>
      <c r="O63" s="189"/>
      <c r="P63" s="189"/>
      <c r="Q63" s="192"/>
      <c r="R63" s="148"/>
      <c r="S63" s="148"/>
      <c r="T63" s="149"/>
      <c r="U63" s="148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outlineLevel="1" x14ac:dyDescent="0.2">
      <c r="A64" s="189"/>
      <c r="B64" s="190"/>
      <c r="C64" s="166" t="s">
        <v>131</v>
      </c>
      <c r="D64" s="196"/>
      <c r="E64" s="145"/>
      <c r="F64" s="189"/>
      <c r="G64" s="189"/>
      <c r="N64" s="189"/>
      <c r="O64" s="189"/>
      <c r="P64" s="189"/>
      <c r="Q64" s="192"/>
      <c r="R64" s="148"/>
      <c r="S64" s="148"/>
      <c r="T64" s="149"/>
      <c r="U64" s="148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ht="22.5" outlineLevel="1" x14ac:dyDescent="0.2">
      <c r="A65" s="189"/>
      <c r="B65" s="190"/>
      <c r="C65" s="161" t="s">
        <v>135</v>
      </c>
      <c r="D65" s="196"/>
      <c r="E65" s="145">
        <f>((12.72-0.5)/1.116)*6*15.96*(0.05*0.07)*1.1</f>
        <v>4.0369361290322585</v>
      </c>
      <c r="F65" s="189"/>
      <c r="G65" s="189"/>
      <c r="N65" s="189"/>
      <c r="O65" s="189"/>
      <c r="P65" s="189"/>
      <c r="Q65" s="192"/>
      <c r="R65" s="148"/>
      <c r="S65" s="148"/>
      <c r="T65" s="149"/>
      <c r="U65" s="148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ht="22.5" outlineLevel="1" x14ac:dyDescent="0.2">
      <c r="A66" s="189"/>
      <c r="B66" s="190"/>
      <c r="C66" s="166" t="s">
        <v>136</v>
      </c>
      <c r="D66" s="196"/>
      <c r="E66" s="145"/>
      <c r="F66" s="189"/>
      <c r="G66" s="189"/>
      <c r="N66" s="189"/>
      <c r="O66" s="189"/>
      <c r="P66" s="189"/>
      <c r="Q66" s="192"/>
      <c r="R66" s="148"/>
      <c r="S66" s="148"/>
      <c r="T66" s="149"/>
      <c r="U66" s="148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ht="33.75" outlineLevel="1" x14ac:dyDescent="0.2">
      <c r="A67" s="189"/>
      <c r="B67" s="190"/>
      <c r="C67" s="161" t="s">
        <v>137</v>
      </c>
      <c r="D67" s="196"/>
      <c r="E67" s="145">
        <f>((12.72-0.5)/1.116)*6*(1+1.2)*(0.05*0.07)*1.1</f>
        <v>0.5564698924731184</v>
      </c>
      <c r="F67" s="189"/>
      <c r="G67" s="189"/>
      <c r="N67" s="189"/>
      <c r="O67" s="189"/>
      <c r="P67" s="189"/>
      <c r="Q67" s="192"/>
      <c r="R67" s="148"/>
      <c r="S67" s="148"/>
      <c r="T67" s="149"/>
      <c r="U67" s="148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12.75" customHeight="1" outlineLevel="1" x14ac:dyDescent="0.2">
      <c r="A68" s="189"/>
      <c r="B68" s="190"/>
      <c r="C68" s="161" t="s">
        <v>139</v>
      </c>
      <c r="D68" s="196"/>
      <c r="E68" s="145">
        <f>((0.4*2)+0.6)/1.116*6*2.28*(0.05*0.07)*1.1</f>
        <v>6.607096774193548E-2</v>
      </c>
      <c r="F68" s="189"/>
      <c r="G68" s="189"/>
      <c r="N68" s="189"/>
      <c r="O68" s="189"/>
      <c r="P68" s="189"/>
      <c r="Q68" s="192"/>
      <c r="R68" s="148"/>
      <c r="S68" s="148"/>
      <c r="T68" s="149"/>
      <c r="U68" s="148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outlineLevel="1" x14ac:dyDescent="0.2">
      <c r="A69" s="189"/>
      <c r="B69" s="190"/>
      <c r="C69" s="166" t="s">
        <v>130</v>
      </c>
      <c r="D69" s="196"/>
      <c r="E69" s="145"/>
      <c r="F69" s="189"/>
      <c r="G69" s="189"/>
      <c r="N69" s="189"/>
      <c r="O69" s="189"/>
      <c r="P69" s="189"/>
      <c r="Q69" s="192"/>
      <c r="R69" s="148"/>
      <c r="S69" s="148"/>
      <c r="T69" s="149"/>
      <c r="U69" s="148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outlineLevel="1" x14ac:dyDescent="0.2">
      <c r="A70" s="189"/>
      <c r="B70" s="190"/>
      <c r="C70" s="161" t="s">
        <v>140</v>
      </c>
      <c r="D70" s="142"/>
      <c r="E70" s="145">
        <f>(7*15.96)*(0.05*0.07)*1.1</f>
        <v>0.43012200000000006</v>
      </c>
      <c r="F70" s="189"/>
      <c r="G70" s="189"/>
      <c r="N70" s="189"/>
      <c r="O70" s="189"/>
      <c r="P70" s="189"/>
      <c r="Q70" s="192"/>
      <c r="R70" s="148"/>
      <c r="S70" s="148"/>
      <c r="T70" s="149"/>
      <c r="U70" s="148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outlineLevel="1" x14ac:dyDescent="0.2">
      <c r="A71" s="189"/>
      <c r="B71" s="190"/>
      <c r="C71" s="166" t="s">
        <v>259</v>
      </c>
      <c r="D71" s="196"/>
      <c r="E71" s="145"/>
      <c r="F71" s="189"/>
      <c r="G71" s="189"/>
      <c r="N71" s="189"/>
      <c r="O71" s="189"/>
      <c r="P71" s="189"/>
      <c r="Q71" s="192"/>
      <c r="R71" s="148"/>
      <c r="S71" s="148"/>
      <c r="T71" s="149"/>
      <c r="U71" s="148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outlineLevel="1" x14ac:dyDescent="0.2">
      <c r="A72" s="189"/>
      <c r="B72" s="190"/>
      <c r="C72" s="273" t="s">
        <v>260</v>
      </c>
      <c r="D72" s="196"/>
      <c r="E72" s="145">
        <f>17*(11.4+12.72)*(0.05*0.07)*1.1</f>
        <v>1.5786540000000004</v>
      </c>
      <c r="F72" s="189"/>
      <c r="G72" s="189"/>
      <c r="N72" s="189"/>
      <c r="O72" s="189"/>
      <c r="P72" s="189"/>
      <c r="Q72" s="192"/>
      <c r="R72" s="148"/>
      <c r="S72" s="148"/>
      <c r="T72" s="149"/>
      <c r="U72" s="148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outlineLevel="1" x14ac:dyDescent="0.2">
      <c r="A73" s="189"/>
      <c r="B73" s="190"/>
      <c r="C73" s="166" t="s">
        <v>141</v>
      </c>
      <c r="D73" s="196"/>
      <c r="E73" s="145"/>
      <c r="F73" s="189"/>
      <c r="G73" s="189"/>
      <c r="N73" s="189"/>
      <c r="O73" s="189"/>
      <c r="P73" s="189"/>
      <c r="Q73" s="192"/>
      <c r="R73" s="148"/>
      <c r="S73" s="148"/>
      <c r="T73" s="149"/>
      <c r="U73" s="148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outlineLevel="1" x14ac:dyDescent="0.2">
      <c r="A74" s="189"/>
      <c r="B74" s="190"/>
      <c r="C74" s="161" t="s">
        <v>142</v>
      </c>
      <c r="D74" s="142"/>
      <c r="E74" s="169">
        <f>0.96*(0.05*0.07)*1.1</f>
        <v>3.6960000000000009E-3</v>
      </c>
      <c r="F74" s="189"/>
      <c r="G74" s="189"/>
      <c r="N74" s="189"/>
      <c r="O74" s="189"/>
      <c r="P74" s="189"/>
      <c r="Q74" s="192"/>
      <c r="R74" s="148"/>
      <c r="S74" s="148"/>
      <c r="T74" s="149"/>
      <c r="U74" s="148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 x14ac:dyDescent="0.2">
      <c r="A75" s="193"/>
      <c r="B75" s="194"/>
      <c r="C75" s="170"/>
      <c r="D75" s="171"/>
      <c r="E75" s="169">
        <f>SUM(E59:E74)</f>
        <v>10.630125739247314</v>
      </c>
      <c r="F75" s="193"/>
      <c r="G75" s="193"/>
      <c r="H75" s="15"/>
      <c r="I75" s="15"/>
      <c r="J75" s="15"/>
      <c r="K75" s="15"/>
      <c r="L75" s="15"/>
      <c r="M75" s="15"/>
      <c r="N75" s="193"/>
      <c r="O75" s="193"/>
      <c r="P75" s="193"/>
      <c r="Q75" s="195"/>
      <c r="R75" s="148"/>
      <c r="S75" s="148"/>
      <c r="T75" s="149"/>
      <c r="U75" s="148"/>
      <c r="V75" s="136"/>
      <c r="W75" s="136"/>
      <c r="X75" s="136"/>
      <c r="Y75" s="136"/>
      <c r="Z75" s="136"/>
      <c r="AA75" s="136"/>
      <c r="AB75" s="136"/>
      <c r="AC75" s="136"/>
      <c r="AD75" s="136"/>
      <c r="AE75" s="136" t="s">
        <v>90</v>
      </c>
      <c r="AF75" s="136">
        <v>0</v>
      </c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ht="33.75" outlineLevel="1" x14ac:dyDescent="0.2">
      <c r="A76" s="137">
        <v>18</v>
      </c>
      <c r="B76" s="172">
        <v>762342811</v>
      </c>
      <c r="C76" s="160" t="s">
        <v>122</v>
      </c>
      <c r="D76" s="141" t="s">
        <v>94</v>
      </c>
      <c r="E76" s="144">
        <f>E80</f>
        <v>379.88220000000001</v>
      </c>
      <c r="F76" s="147"/>
      <c r="G76" s="148">
        <f>ROUND(E76*F76,2)</f>
        <v>0</v>
      </c>
      <c r="H76" s="184"/>
      <c r="I76" s="148">
        <f>ROUND(E76*H76,2)</f>
        <v>0</v>
      </c>
      <c r="J76" s="184"/>
      <c r="K76" s="148">
        <f>ROUND(E76*J76,2)</f>
        <v>0</v>
      </c>
      <c r="L76" s="148">
        <v>21</v>
      </c>
      <c r="M76" s="148">
        <f>G76*(1+L76/100)</f>
        <v>0</v>
      </c>
      <c r="N76" s="144">
        <v>0</v>
      </c>
      <c r="O76" s="144">
        <f>ROUND(E76*N76,2)</f>
        <v>0</v>
      </c>
      <c r="P76" s="144">
        <v>7.0000000000000001E-3</v>
      </c>
      <c r="Q76" s="144">
        <f>ROUND(E76*P76,2)</f>
        <v>2.66</v>
      </c>
      <c r="R76" s="148"/>
      <c r="S76" s="148"/>
      <c r="T76" s="149">
        <v>6.8589999999999998E-2</v>
      </c>
      <c r="U76" s="148">
        <f>ROUND(E76*T76,2)</f>
        <v>26.06</v>
      </c>
      <c r="V76" s="136"/>
      <c r="W76" s="136"/>
      <c r="X76" s="136"/>
      <c r="Y76" s="136"/>
      <c r="Z76" s="136"/>
      <c r="AA76" s="136"/>
      <c r="AB76" s="136"/>
      <c r="AC76" s="136"/>
      <c r="AD76" s="136"/>
      <c r="AE76" s="136" t="s">
        <v>89</v>
      </c>
      <c r="AF76" s="136"/>
      <c r="AG76" s="136"/>
      <c r="AH76" s="136"/>
      <c r="AI76" s="136"/>
      <c r="AJ76" s="136"/>
      <c r="AK76" s="136"/>
      <c r="AL76" s="136"/>
      <c r="AM76" s="136"/>
      <c r="AN76" s="136"/>
      <c r="AO76" s="136"/>
      <c r="AP76" s="136"/>
      <c r="AQ76" s="136"/>
      <c r="AR76" s="136"/>
      <c r="AS76" s="136"/>
      <c r="AT76" s="136"/>
      <c r="AU76" s="136"/>
      <c r="AV76" s="136"/>
      <c r="AW76" s="136"/>
      <c r="AX76" s="136"/>
      <c r="AY76" s="136"/>
      <c r="AZ76" s="136"/>
      <c r="BA76" s="136"/>
      <c r="BB76" s="136"/>
      <c r="BC76" s="136"/>
      <c r="BD76" s="136"/>
      <c r="BE76" s="136"/>
      <c r="BF76" s="136"/>
      <c r="BG76" s="136"/>
      <c r="BH76" s="136"/>
    </row>
    <row r="77" spans="1:60" outlineLevel="1" x14ac:dyDescent="0.2">
      <c r="A77" s="137"/>
      <c r="B77" s="137"/>
      <c r="C77" s="166" t="s">
        <v>123</v>
      </c>
      <c r="D77" s="185"/>
      <c r="E77" s="186"/>
      <c r="F77" s="187"/>
      <c r="G77" s="18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9"/>
      <c r="U77" s="148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8"/>
      <c r="BB77" s="136"/>
      <c r="BC77" s="136"/>
      <c r="BD77" s="136"/>
      <c r="BE77" s="136"/>
      <c r="BF77" s="136"/>
      <c r="BG77" s="136"/>
      <c r="BH77" s="136"/>
    </row>
    <row r="78" spans="1:60" outlineLevel="1" x14ac:dyDescent="0.2">
      <c r="A78" s="137"/>
      <c r="B78" s="137"/>
      <c r="C78" s="161" t="s">
        <v>119</v>
      </c>
      <c r="D78" s="142"/>
      <c r="E78" s="145">
        <f>11.4*15.515</f>
        <v>176.87100000000001</v>
      </c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9"/>
      <c r="U78" s="148"/>
      <c r="V78" s="136"/>
      <c r="W78" s="136"/>
      <c r="X78" s="136"/>
      <c r="Y78" s="136"/>
      <c r="Z78" s="136"/>
      <c r="AA78" s="136"/>
      <c r="AB78" s="136"/>
      <c r="AC78" s="136"/>
      <c r="AD78" s="136"/>
      <c r="AE78" s="136" t="s">
        <v>90</v>
      </c>
      <c r="AF78" s="136">
        <v>0</v>
      </c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outlineLevel="1" x14ac:dyDescent="0.2">
      <c r="A79" s="137"/>
      <c r="B79" s="137"/>
      <c r="C79" s="161" t="s">
        <v>120</v>
      </c>
      <c r="D79" s="142"/>
      <c r="E79" s="169">
        <f>12.72*15.96</f>
        <v>203.01120000000003</v>
      </c>
      <c r="F79" s="148"/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9"/>
      <c r="U79" s="148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outlineLevel="1" x14ac:dyDescent="0.2">
      <c r="A80" s="167"/>
      <c r="B80" s="167"/>
      <c r="C80" s="170"/>
      <c r="D80" s="171"/>
      <c r="E80" s="169">
        <f>SUM(E78:E79)</f>
        <v>379.88220000000001</v>
      </c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48"/>
      <c r="S80" s="148"/>
      <c r="T80" s="149"/>
      <c r="U80" s="148"/>
      <c r="V80" s="136"/>
      <c r="W80" s="136"/>
      <c r="X80" s="136"/>
      <c r="Y80" s="136"/>
      <c r="Z80" s="136"/>
      <c r="AA80" s="136"/>
      <c r="AB80" s="136"/>
      <c r="AC80" s="136"/>
      <c r="AD80" s="136"/>
      <c r="AE80" s="136" t="s">
        <v>90</v>
      </c>
      <c r="AF80" s="136">
        <v>0</v>
      </c>
      <c r="AG80" s="136"/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 x14ac:dyDescent="0.2">
      <c r="A81" s="137">
        <v>19</v>
      </c>
      <c r="B81" s="172">
        <v>7623950000</v>
      </c>
      <c r="C81" s="160" t="s">
        <v>262</v>
      </c>
      <c r="D81" s="141" t="s">
        <v>98</v>
      </c>
      <c r="E81" s="144">
        <f>E82</f>
        <v>10.630129999999999</v>
      </c>
      <c r="F81" s="147"/>
      <c r="G81" s="148">
        <f>ROUND(E81*F81,2)</f>
        <v>0</v>
      </c>
      <c r="H81" s="184"/>
      <c r="I81" s="148">
        <f>ROUND(E81*H81,2)</f>
        <v>0</v>
      </c>
      <c r="J81" s="184"/>
      <c r="K81" s="148">
        <f>ROUND(E81*J81,2)</f>
        <v>0</v>
      </c>
      <c r="L81" s="148">
        <v>21</v>
      </c>
      <c r="M81" s="148">
        <f>G81*(1+L81/100)</f>
        <v>0</v>
      </c>
      <c r="N81" s="144">
        <v>2.3369999999999998E-2</v>
      </c>
      <c r="O81" s="144">
        <f>ROUND(E81*N81,2)</f>
        <v>0.25</v>
      </c>
      <c r="P81" s="144">
        <v>0</v>
      </c>
      <c r="Q81" s="144">
        <f>ROUND(E81*P81,2)</f>
        <v>0</v>
      </c>
      <c r="R81" s="148"/>
      <c r="S81" s="148"/>
      <c r="T81" s="149"/>
      <c r="U81" s="148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 x14ac:dyDescent="0.2">
      <c r="A82" s="167"/>
      <c r="B82" s="167"/>
      <c r="C82" s="170">
        <v>10.630129999999999</v>
      </c>
      <c r="D82" s="171"/>
      <c r="E82" s="169">
        <v>10.630129999999999</v>
      </c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48"/>
      <c r="S82" s="148"/>
      <c r="T82" s="149"/>
      <c r="U82" s="148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ht="22.5" outlineLevel="1" x14ac:dyDescent="0.2">
      <c r="A83" s="137">
        <v>20</v>
      </c>
      <c r="B83" s="226">
        <v>998762203</v>
      </c>
      <c r="C83" s="255" t="s">
        <v>195</v>
      </c>
      <c r="D83" s="256" t="s">
        <v>0</v>
      </c>
      <c r="E83" s="254">
        <v>5.79</v>
      </c>
      <c r="F83" s="178"/>
      <c r="G83" s="179">
        <f>ROUND(E83*F83,2)</f>
        <v>0</v>
      </c>
      <c r="H83" s="153"/>
      <c r="I83" s="153"/>
      <c r="J83" s="153"/>
      <c r="K83" s="153"/>
      <c r="L83" s="153"/>
      <c r="M83" s="153"/>
      <c r="N83" s="177">
        <v>0</v>
      </c>
      <c r="O83" s="177">
        <f>ROUND(E83*N83,2)</f>
        <v>0</v>
      </c>
      <c r="P83" s="177">
        <v>0</v>
      </c>
      <c r="Q83" s="177">
        <f>ROUND(E83*P83,2)</f>
        <v>0</v>
      </c>
      <c r="R83" s="148"/>
      <c r="S83" s="148"/>
      <c r="T83" s="149">
        <v>0</v>
      </c>
      <c r="U83" s="148">
        <f>ROUND(E83*T83,2)</f>
        <v>0</v>
      </c>
      <c r="V83" s="136"/>
      <c r="W83" s="136"/>
      <c r="X83" s="136"/>
      <c r="Y83" s="136"/>
      <c r="Z83" s="136"/>
      <c r="AA83" s="136"/>
      <c r="AB83" s="136"/>
      <c r="AC83" s="136"/>
      <c r="AD83" s="136"/>
      <c r="AE83" s="136" t="s">
        <v>93</v>
      </c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x14ac:dyDescent="0.2">
      <c r="A84" s="140" t="s">
        <v>86</v>
      </c>
      <c r="B84" s="140" t="s">
        <v>54</v>
      </c>
      <c r="C84" s="162" t="s">
        <v>55</v>
      </c>
      <c r="D84" s="143"/>
      <c r="E84" s="146"/>
      <c r="F84" s="150"/>
      <c r="G84" s="150">
        <f>SUMIF(AE85:AE127,"&lt;&gt;NOR",G85:G127)</f>
        <v>0</v>
      </c>
      <c r="H84" s="150"/>
      <c r="I84" s="150">
        <f>SUM(I85:I127)</f>
        <v>0</v>
      </c>
      <c r="J84" s="150"/>
      <c r="K84" s="150">
        <f>SUM(K85:K127)</f>
        <v>0</v>
      </c>
      <c r="L84" s="150"/>
      <c r="M84" s="150">
        <f>SUM(M85:M127)</f>
        <v>0</v>
      </c>
      <c r="N84" s="150"/>
      <c r="O84" s="146">
        <f>SUM(O85:O127)</f>
        <v>0.66000000000000014</v>
      </c>
      <c r="P84" s="150"/>
      <c r="Q84" s="146">
        <f>SUM(Q85:Q127)</f>
        <v>0.71</v>
      </c>
      <c r="R84" s="150"/>
      <c r="S84" s="150"/>
      <c r="T84" s="151"/>
      <c r="U84" s="150">
        <f>SUM(U85:U127)</f>
        <v>9.32</v>
      </c>
      <c r="AE84" t="s">
        <v>87</v>
      </c>
    </row>
    <row r="85" spans="1:60" ht="22.5" outlineLevel="1" x14ac:dyDescent="0.2">
      <c r="A85" s="137">
        <v>21</v>
      </c>
      <c r="B85" s="172">
        <v>764001801</v>
      </c>
      <c r="C85" s="160" t="s">
        <v>214</v>
      </c>
      <c r="D85" s="141" t="s">
        <v>88</v>
      </c>
      <c r="E85" s="144">
        <f>E87</f>
        <v>31.475000000000001</v>
      </c>
      <c r="F85" s="147"/>
      <c r="G85" s="148">
        <f>ROUND(E85*F85,2)</f>
        <v>0</v>
      </c>
      <c r="H85" s="147"/>
      <c r="I85" s="148">
        <f>ROUND(E85*H85,2)</f>
        <v>0</v>
      </c>
      <c r="J85" s="147"/>
      <c r="K85" s="148">
        <f>ROUND(E85*J85,2)</f>
        <v>0</v>
      </c>
      <c r="L85" s="148">
        <v>21</v>
      </c>
      <c r="M85" s="148">
        <f>G85*(1+L85/100)</f>
        <v>0</v>
      </c>
      <c r="N85" s="144">
        <v>0</v>
      </c>
      <c r="O85" s="211">
        <f>ROUND(E85*N85,2)</f>
        <v>0</v>
      </c>
      <c r="P85" s="144">
        <v>1.7600000000000001E-3</v>
      </c>
      <c r="Q85" s="144">
        <f>ROUND(E85*P85,2)</f>
        <v>0.06</v>
      </c>
      <c r="R85" s="148"/>
      <c r="S85" s="148"/>
      <c r="T85" s="149">
        <v>0.29599999999999999</v>
      </c>
      <c r="U85" s="148">
        <f>ROUND(E85*T85,2)</f>
        <v>9.32</v>
      </c>
      <c r="V85" s="136"/>
      <c r="W85" s="136"/>
      <c r="X85" s="136"/>
      <c r="Y85" s="136"/>
      <c r="Z85" s="136"/>
      <c r="AA85" s="136"/>
      <c r="AB85" s="136"/>
      <c r="AC85" s="136"/>
      <c r="AD85" s="136"/>
      <c r="AE85" s="136" t="s">
        <v>92</v>
      </c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 x14ac:dyDescent="0.2">
      <c r="A86" s="137"/>
      <c r="B86" s="172"/>
      <c r="C86" s="166" t="s">
        <v>215</v>
      </c>
      <c r="D86" s="141"/>
      <c r="E86" s="144"/>
      <c r="F86" s="147"/>
      <c r="G86" s="148"/>
      <c r="H86" s="147"/>
      <c r="I86" s="148"/>
      <c r="J86" s="147"/>
      <c r="K86" s="148"/>
      <c r="L86" s="148"/>
      <c r="M86" s="148"/>
      <c r="N86" s="216"/>
      <c r="O86" s="216"/>
      <c r="P86" s="144"/>
      <c r="Q86" s="144"/>
      <c r="R86" s="148"/>
      <c r="S86" s="148"/>
      <c r="T86" s="149"/>
      <c r="U86" s="148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 x14ac:dyDescent="0.2">
      <c r="A87" s="167"/>
      <c r="B87" s="226"/>
      <c r="C87" s="170" t="s">
        <v>197</v>
      </c>
      <c r="D87" s="171"/>
      <c r="E87" s="169">
        <f>15.515+15.96</f>
        <v>31.475000000000001</v>
      </c>
      <c r="F87" s="244"/>
      <c r="G87" s="153"/>
      <c r="H87" s="245"/>
      <c r="I87" s="153"/>
      <c r="J87" s="245"/>
      <c r="K87" s="153"/>
      <c r="L87" s="153"/>
      <c r="M87" s="153"/>
      <c r="N87" s="221"/>
      <c r="O87" s="221"/>
      <c r="P87" s="238"/>
      <c r="Q87" s="238"/>
      <c r="R87" s="148"/>
      <c r="S87" s="148"/>
      <c r="T87" s="149"/>
      <c r="U87" s="148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ht="22.5" outlineLevel="1" x14ac:dyDescent="0.2">
      <c r="A88" s="137">
        <v>22</v>
      </c>
      <c r="B88" s="172">
        <v>764001911</v>
      </c>
      <c r="C88" s="181" t="s">
        <v>224</v>
      </c>
      <c r="D88" s="182" t="s">
        <v>88</v>
      </c>
      <c r="E88" s="183">
        <v>11.4</v>
      </c>
      <c r="F88" s="178"/>
      <c r="G88" s="179">
        <f>ROUND(E88*F88,2)</f>
        <v>0</v>
      </c>
      <c r="H88" s="153"/>
      <c r="I88" s="153"/>
      <c r="J88" s="153"/>
      <c r="K88" s="153"/>
      <c r="L88" s="153"/>
      <c r="M88" s="153"/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48"/>
      <c r="S88" s="148"/>
      <c r="T88" s="149"/>
      <c r="U88" s="148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  <c r="AF88" s="136"/>
      <c r="AG88" s="136"/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ht="22.5" outlineLevel="1" x14ac:dyDescent="0.2">
      <c r="A89" s="137"/>
      <c r="B89" s="172"/>
      <c r="C89" s="166" t="s">
        <v>225</v>
      </c>
      <c r="D89" s="142"/>
      <c r="E89" s="145"/>
      <c r="F89" s="184"/>
      <c r="G89" s="148"/>
      <c r="H89" s="147"/>
      <c r="I89" s="148"/>
      <c r="J89" s="147"/>
      <c r="K89" s="148"/>
      <c r="L89" s="148"/>
      <c r="M89" s="148"/>
      <c r="N89" s="216"/>
      <c r="O89" s="216"/>
      <c r="P89" s="144"/>
      <c r="Q89" s="144"/>
      <c r="R89" s="148"/>
      <c r="S89" s="148"/>
      <c r="T89" s="149"/>
      <c r="U89" s="148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outlineLevel="1" x14ac:dyDescent="0.2">
      <c r="A90" s="167"/>
      <c r="B90" s="226"/>
      <c r="C90" s="202">
        <v>11.4</v>
      </c>
      <c r="D90" s="171"/>
      <c r="E90" s="169">
        <v>11.4</v>
      </c>
      <c r="F90" s="244"/>
      <c r="G90" s="153"/>
      <c r="H90" s="245"/>
      <c r="I90" s="153"/>
      <c r="J90" s="245"/>
      <c r="K90" s="153"/>
      <c r="L90" s="153"/>
      <c r="M90" s="153"/>
      <c r="N90" s="221"/>
      <c r="O90" s="221"/>
      <c r="P90" s="238"/>
      <c r="Q90" s="238"/>
      <c r="R90" s="148"/>
      <c r="S90" s="148"/>
      <c r="T90" s="149"/>
      <c r="U90" s="148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ht="22.5" outlineLevel="1" x14ac:dyDescent="0.2">
      <c r="A91" s="137">
        <v>23</v>
      </c>
      <c r="B91" s="172">
        <v>764002801</v>
      </c>
      <c r="C91" s="160" t="s">
        <v>202</v>
      </c>
      <c r="D91" s="141" t="s">
        <v>88</v>
      </c>
      <c r="E91" s="144">
        <f>E92</f>
        <v>27.84</v>
      </c>
      <c r="F91" s="147"/>
      <c r="G91" s="148">
        <f>ROUND(E91*F91,2)</f>
        <v>0</v>
      </c>
      <c r="H91" s="147"/>
      <c r="I91" s="148">
        <f>ROUND(E91*H91,2)</f>
        <v>0</v>
      </c>
      <c r="J91" s="147"/>
      <c r="K91" s="148">
        <f>ROUND(E91*J91,2)</f>
        <v>0</v>
      </c>
      <c r="L91" s="148">
        <v>21</v>
      </c>
      <c r="M91" s="148">
        <f>G91*(1+L91/100)</f>
        <v>0</v>
      </c>
      <c r="N91" s="144">
        <v>0</v>
      </c>
      <c r="O91" s="144">
        <f>ROUND(E91*N91,2)</f>
        <v>0</v>
      </c>
      <c r="P91" s="144">
        <v>1.6999999999999999E-3</v>
      </c>
      <c r="Q91" s="144">
        <f>ROUND(E91*P91,2)</f>
        <v>0.05</v>
      </c>
      <c r="R91" s="148"/>
      <c r="S91" s="148"/>
      <c r="T91" s="149"/>
      <c r="U91" s="148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outlineLevel="1" x14ac:dyDescent="0.2">
      <c r="A92" s="180"/>
      <c r="B92" s="226"/>
      <c r="C92" s="170" t="s">
        <v>213</v>
      </c>
      <c r="D92" s="171"/>
      <c r="E92" s="169">
        <f>(12.72*2)+2+0.4</f>
        <v>27.84</v>
      </c>
      <c r="F92" s="244"/>
      <c r="G92" s="153"/>
      <c r="H92" s="245"/>
      <c r="I92" s="153"/>
      <c r="J92" s="245"/>
      <c r="K92" s="153"/>
      <c r="L92" s="153"/>
      <c r="M92" s="153"/>
      <c r="N92" s="221"/>
      <c r="O92" s="221"/>
      <c r="P92" s="238"/>
      <c r="Q92" s="238"/>
      <c r="R92" s="148"/>
      <c r="S92" s="148"/>
      <c r="T92" s="149"/>
      <c r="U92" s="148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ht="22.5" outlineLevel="1" x14ac:dyDescent="0.2">
      <c r="A93" s="137">
        <v>24</v>
      </c>
      <c r="B93" s="172">
        <v>764002812</v>
      </c>
      <c r="C93" s="160" t="s">
        <v>222</v>
      </c>
      <c r="D93" s="182" t="s">
        <v>88</v>
      </c>
      <c r="E93" s="183">
        <f>E95</f>
        <v>31.475000000000001</v>
      </c>
      <c r="F93" s="147"/>
      <c r="G93" s="148">
        <f>ROUND(E93*F93,2)</f>
        <v>0</v>
      </c>
      <c r="H93" s="147"/>
      <c r="I93" s="148">
        <f>ROUND(E93*H93,2)</f>
        <v>0</v>
      </c>
      <c r="J93" s="147"/>
      <c r="K93" s="148">
        <f>ROUND(E93*J93,2)</f>
        <v>0</v>
      </c>
      <c r="L93" s="148">
        <v>21</v>
      </c>
      <c r="M93" s="148">
        <f>G93*(1+L93/100)</f>
        <v>0</v>
      </c>
      <c r="N93" s="144">
        <v>0</v>
      </c>
      <c r="O93" s="211">
        <f>ROUND(E93*N93,2)</f>
        <v>0</v>
      </c>
      <c r="P93" s="144">
        <v>1.7700000000000001E-3</v>
      </c>
      <c r="Q93" s="144">
        <f>ROUND(E93*P93,2)</f>
        <v>0.06</v>
      </c>
      <c r="R93" s="148"/>
      <c r="S93" s="148"/>
      <c r="T93" s="149"/>
      <c r="U93" s="148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 x14ac:dyDescent="0.2">
      <c r="A94" s="137"/>
      <c r="B94" s="172"/>
      <c r="C94" s="166" t="s">
        <v>216</v>
      </c>
      <c r="D94" s="182"/>
      <c r="E94" s="183"/>
      <c r="F94" s="147"/>
      <c r="G94" s="148"/>
      <c r="H94" s="147"/>
      <c r="I94" s="148"/>
      <c r="J94" s="147"/>
      <c r="K94" s="148"/>
      <c r="L94" s="148"/>
      <c r="M94" s="148"/>
      <c r="N94" s="144"/>
      <c r="O94" s="144"/>
      <c r="P94" s="144"/>
      <c r="Q94" s="144"/>
      <c r="R94" s="148"/>
      <c r="S94" s="148"/>
      <c r="T94" s="149"/>
      <c r="U94" s="148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 x14ac:dyDescent="0.2">
      <c r="A95" s="167"/>
      <c r="B95" s="226"/>
      <c r="C95" s="170" t="s">
        <v>197</v>
      </c>
      <c r="D95" s="171"/>
      <c r="E95" s="169">
        <f>15.515+15.96</f>
        <v>31.475000000000001</v>
      </c>
      <c r="F95" s="244"/>
      <c r="G95" s="153"/>
      <c r="H95" s="245"/>
      <c r="I95" s="153"/>
      <c r="J95" s="245"/>
      <c r="K95" s="153"/>
      <c r="L95" s="153"/>
      <c r="M95" s="153"/>
      <c r="N95" s="238"/>
      <c r="O95" s="238"/>
      <c r="P95" s="238"/>
      <c r="Q95" s="238"/>
      <c r="R95" s="148"/>
      <c r="S95" s="148"/>
      <c r="T95" s="149"/>
      <c r="U95" s="148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ht="12.75" customHeight="1" outlineLevel="1" x14ac:dyDescent="0.2">
      <c r="A96" s="137">
        <v>25</v>
      </c>
      <c r="B96" s="172">
        <v>764002821</v>
      </c>
      <c r="C96" s="160" t="s">
        <v>217</v>
      </c>
      <c r="D96" s="182" t="s">
        <v>91</v>
      </c>
      <c r="E96" s="183">
        <f>E97</f>
        <v>20.399999999999999</v>
      </c>
      <c r="F96" s="147"/>
      <c r="G96" s="148">
        <f>ROUND(E96*F96,2)</f>
        <v>0</v>
      </c>
      <c r="H96" s="147"/>
      <c r="I96" s="148">
        <f>ROUND(E96*H96,2)</f>
        <v>0</v>
      </c>
      <c r="J96" s="147"/>
      <c r="K96" s="148">
        <f>ROUND(E96*J96,2)</f>
        <v>0</v>
      </c>
      <c r="L96" s="148">
        <v>21</v>
      </c>
      <c r="M96" s="148">
        <f>G96*(1+L96/100)</f>
        <v>0</v>
      </c>
      <c r="N96" s="144">
        <v>0</v>
      </c>
      <c r="O96" s="211">
        <f>ROUND(E96*N96,2)</f>
        <v>0</v>
      </c>
      <c r="P96" s="144">
        <v>9.0600000000000003E-3</v>
      </c>
      <c r="Q96" s="144">
        <f>ROUND(E96*P96,2)</f>
        <v>0.18</v>
      </c>
      <c r="R96" s="148"/>
      <c r="S96" s="148"/>
      <c r="T96" s="149"/>
      <c r="U96" s="148"/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 x14ac:dyDescent="0.2">
      <c r="A97" s="167"/>
      <c r="B97" s="226"/>
      <c r="C97" s="202" t="s">
        <v>218</v>
      </c>
      <c r="D97" s="171"/>
      <c r="E97" s="169">
        <f>11.4+9</f>
        <v>20.399999999999999</v>
      </c>
      <c r="F97" s="244"/>
      <c r="G97" s="153"/>
      <c r="H97" s="245"/>
      <c r="I97" s="153"/>
      <c r="J97" s="245"/>
      <c r="K97" s="153"/>
      <c r="L97" s="153"/>
      <c r="M97" s="153"/>
      <c r="N97" s="238"/>
      <c r="O97" s="238"/>
      <c r="P97" s="238"/>
      <c r="Q97" s="238"/>
      <c r="R97" s="148"/>
      <c r="S97" s="148"/>
      <c r="T97" s="149"/>
      <c r="U97" s="148"/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ht="22.5" outlineLevel="1" x14ac:dyDescent="0.2">
      <c r="A98" s="137">
        <v>26</v>
      </c>
      <c r="B98" s="206">
        <v>764002871</v>
      </c>
      <c r="C98" s="160" t="s">
        <v>203</v>
      </c>
      <c r="D98" s="182" t="s">
        <v>91</v>
      </c>
      <c r="E98" s="183">
        <f>E99</f>
        <v>5</v>
      </c>
      <c r="F98" s="147"/>
      <c r="G98" s="148">
        <f>ROUND(E98*F98,2)</f>
        <v>0</v>
      </c>
      <c r="H98" s="147"/>
      <c r="I98" s="148">
        <f>ROUND(E98*H98,2)</f>
        <v>0</v>
      </c>
      <c r="J98" s="147"/>
      <c r="K98" s="148">
        <f>ROUND(E98*J98,2)</f>
        <v>0</v>
      </c>
      <c r="L98" s="148">
        <v>21</v>
      </c>
      <c r="M98" s="148">
        <f>G98*(1+L98/100)</f>
        <v>0</v>
      </c>
      <c r="N98" s="144">
        <v>0</v>
      </c>
      <c r="O98" s="211">
        <f>ROUND(E98*N98,2)</f>
        <v>0</v>
      </c>
      <c r="P98" s="144">
        <v>9.0600000000000003E-3</v>
      </c>
      <c r="Q98" s="144">
        <f>ROUND(E98*P98,2)</f>
        <v>0.05</v>
      </c>
      <c r="R98" s="148"/>
      <c r="S98" s="148"/>
      <c r="T98" s="149"/>
      <c r="U98" s="148"/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 x14ac:dyDescent="0.2">
      <c r="A99" s="180"/>
      <c r="B99" s="226"/>
      <c r="C99" s="202">
        <v>5</v>
      </c>
      <c r="D99" s="171"/>
      <c r="E99" s="169">
        <v>5</v>
      </c>
      <c r="F99" s="244"/>
      <c r="G99" s="153"/>
      <c r="H99" s="245"/>
      <c r="I99" s="153"/>
      <c r="J99" s="245"/>
      <c r="K99" s="153"/>
      <c r="L99" s="153"/>
      <c r="M99" s="153"/>
      <c r="N99" s="238"/>
      <c r="O99" s="238"/>
      <c r="P99" s="238"/>
      <c r="Q99" s="238"/>
      <c r="R99" s="148"/>
      <c r="S99" s="148"/>
      <c r="T99" s="149"/>
      <c r="U99" s="148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ht="22.5" outlineLevel="1" x14ac:dyDescent="0.2">
      <c r="A100" s="137">
        <v>27</v>
      </c>
      <c r="B100" s="206">
        <v>764002871</v>
      </c>
      <c r="C100" s="160" t="s">
        <v>221</v>
      </c>
      <c r="D100" s="182" t="s">
        <v>91</v>
      </c>
      <c r="E100" s="183">
        <f>E101</f>
        <v>26</v>
      </c>
      <c r="F100" s="147"/>
      <c r="G100" s="148">
        <f>ROUND(E100*F100,2)</f>
        <v>0</v>
      </c>
      <c r="H100" s="147"/>
      <c r="I100" s="148">
        <f>ROUND(E100*H100,2)</f>
        <v>0</v>
      </c>
      <c r="J100" s="147"/>
      <c r="K100" s="148">
        <f>ROUND(E100*J100,2)</f>
        <v>0</v>
      </c>
      <c r="L100" s="148">
        <v>21</v>
      </c>
      <c r="M100" s="148">
        <f>G100*(1+L100/100)</f>
        <v>0</v>
      </c>
      <c r="N100" s="144">
        <v>0</v>
      </c>
      <c r="O100" s="211">
        <f>ROUND(E100*N100,2)</f>
        <v>0</v>
      </c>
      <c r="P100" s="144">
        <v>2E-3</v>
      </c>
      <c r="Q100" s="144">
        <f>ROUND(E100*P100,2)</f>
        <v>0.05</v>
      </c>
      <c r="R100" s="148"/>
      <c r="S100" s="148"/>
      <c r="T100" s="149"/>
      <c r="U100" s="148"/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outlineLevel="1" x14ac:dyDescent="0.2">
      <c r="A101" s="180"/>
      <c r="B101" s="226"/>
      <c r="C101" s="202">
        <v>26</v>
      </c>
      <c r="D101" s="171"/>
      <c r="E101" s="169">
        <v>26</v>
      </c>
      <c r="F101" s="244"/>
      <c r="G101" s="153"/>
      <c r="H101" s="245"/>
      <c r="I101" s="153"/>
      <c r="J101" s="245"/>
      <c r="K101" s="153"/>
      <c r="L101" s="153"/>
      <c r="M101" s="153"/>
      <c r="N101" s="238"/>
      <c r="O101" s="238"/>
      <c r="P101" s="238"/>
      <c r="Q101" s="238"/>
      <c r="R101" s="148"/>
      <c r="S101" s="148"/>
      <c r="T101" s="149"/>
      <c r="U101" s="148"/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ht="22.5" outlineLevel="1" x14ac:dyDescent="0.2">
      <c r="A102" s="137">
        <v>28</v>
      </c>
      <c r="B102" s="172">
        <v>764004821</v>
      </c>
      <c r="C102" s="160" t="s">
        <v>204</v>
      </c>
      <c r="D102" s="182" t="s">
        <v>88</v>
      </c>
      <c r="E102" s="183">
        <f>E103</f>
        <v>31.475000000000001</v>
      </c>
      <c r="F102" s="147"/>
      <c r="G102" s="148">
        <f>ROUND(E102*F102,2)</f>
        <v>0</v>
      </c>
      <c r="H102" s="147"/>
      <c r="I102" s="148">
        <f>ROUND(E102*H102,2)</f>
        <v>0</v>
      </c>
      <c r="J102" s="147"/>
      <c r="K102" s="148">
        <f>ROUND(E102*J102,2)</f>
        <v>0</v>
      </c>
      <c r="L102" s="148">
        <v>21</v>
      </c>
      <c r="M102" s="148">
        <f>G102*(1+L102/100)</f>
        <v>0</v>
      </c>
      <c r="N102" s="144">
        <v>0</v>
      </c>
      <c r="O102" s="144">
        <f>ROUND(E102*N102,2)</f>
        <v>0</v>
      </c>
      <c r="P102" s="144">
        <v>6.0499999999999998E-3</v>
      </c>
      <c r="Q102" s="144">
        <f>ROUND(E102*P102,2)</f>
        <v>0.19</v>
      </c>
      <c r="R102" s="148"/>
      <c r="S102" s="148"/>
      <c r="T102" s="149"/>
      <c r="U102" s="148"/>
      <c r="V102" s="136"/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outlineLevel="1" x14ac:dyDescent="0.2">
      <c r="A103" s="180"/>
      <c r="B103" s="226"/>
      <c r="C103" s="170" t="s">
        <v>197</v>
      </c>
      <c r="D103" s="171"/>
      <c r="E103" s="169">
        <f>15.515+15.96</f>
        <v>31.475000000000001</v>
      </c>
      <c r="F103" s="244"/>
      <c r="G103" s="153"/>
      <c r="H103" s="245"/>
      <c r="I103" s="153"/>
      <c r="J103" s="245"/>
      <c r="K103" s="153"/>
      <c r="L103" s="153"/>
      <c r="M103" s="153"/>
      <c r="N103" s="238"/>
      <c r="O103" s="238"/>
      <c r="P103" s="238"/>
      <c r="Q103" s="238"/>
      <c r="R103" s="148"/>
      <c r="S103" s="148"/>
      <c r="T103" s="149"/>
      <c r="U103" s="148"/>
      <c r="V103" s="136"/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outlineLevel="1" x14ac:dyDescent="0.2">
      <c r="A104" s="137">
        <v>29</v>
      </c>
      <c r="B104" s="172">
        <v>764004861</v>
      </c>
      <c r="C104" s="160" t="s">
        <v>205</v>
      </c>
      <c r="D104" s="182" t="s">
        <v>88</v>
      </c>
      <c r="E104" s="183">
        <f>E105</f>
        <v>19</v>
      </c>
      <c r="F104" s="147"/>
      <c r="G104" s="148">
        <f>ROUND(E104*F104,2)</f>
        <v>0</v>
      </c>
      <c r="H104" s="147"/>
      <c r="I104" s="148">
        <f>ROUND(E104*H104,2)</f>
        <v>0</v>
      </c>
      <c r="J104" s="147"/>
      <c r="K104" s="148">
        <f>ROUND(E104*J104,2)</f>
        <v>0</v>
      </c>
      <c r="L104" s="148">
        <v>21</v>
      </c>
      <c r="M104" s="148">
        <f>G104*(1+L104/100)</f>
        <v>0</v>
      </c>
      <c r="N104" s="144">
        <v>0</v>
      </c>
      <c r="O104" s="211">
        <f>ROUND(E104*N104,2)</f>
        <v>0</v>
      </c>
      <c r="P104" s="144">
        <v>3.9399999999999999E-3</v>
      </c>
      <c r="Q104" s="144">
        <f>ROUND(E104*P104,2)</f>
        <v>7.0000000000000007E-2</v>
      </c>
      <c r="R104" s="148"/>
      <c r="S104" s="148"/>
      <c r="T104" s="149"/>
      <c r="U104" s="148"/>
      <c r="V104" s="136"/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outlineLevel="1" x14ac:dyDescent="0.2">
      <c r="A105" s="167"/>
      <c r="B105" s="226"/>
      <c r="C105" s="170" t="s">
        <v>206</v>
      </c>
      <c r="D105" s="171"/>
      <c r="E105" s="169">
        <f>9.5*2</f>
        <v>19</v>
      </c>
      <c r="F105" s="244"/>
      <c r="G105" s="153"/>
      <c r="H105" s="245"/>
      <c r="I105" s="153"/>
      <c r="J105" s="245"/>
      <c r="K105" s="153"/>
      <c r="L105" s="153"/>
      <c r="M105" s="153"/>
      <c r="N105" s="238"/>
      <c r="O105" s="238"/>
      <c r="P105" s="238"/>
      <c r="Q105" s="238"/>
      <c r="R105" s="148"/>
      <c r="S105" s="148"/>
      <c r="T105" s="149"/>
      <c r="U105" s="148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22.5" outlineLevel="1" x14ac:dyDescent="0.2">
      <c r="A106" s="137">
        <v>30</v>
      </c>
      <c r="B106" s="172">
        <v>764011611</v>
      </c>
      <c r="C106" s="181" t="s">
        <v>229</v>
      </c>
      <c r="D106" s="182" t="s">
        <v>88</v>
      </c>
      <c r="E106" s="145">
        <f>E108</f>
        <v>29.14</v>
      </c>
      <c r="F106" s="147"/>
      <c r="G106" s="148">
        <f>ROUND(E106*F106,2)</f>
        <v>0</v>
      </c>
      <c r="H106" s="147"/>
      <c r="I106" s="148">
        <f>ROUND(E106*H106,2)</f>
        <v>0</v>
      </c>
      <c r="J106" s="147"/>
      <c r="K106" s="148">
        <f>ROUND(E106*J106,2)</f>
        <v>0</v>
      </c>
      <c r="L106" s="148">
        <v>21</v>
      </c>
      <c r="M106" s="148">
        <f>G106*(1+L106/100)</f>
        <v>0</v>
      </c>
      <c r="N106" s="144">
        <v>1.32E-3</v>
      </c>
      <c r="O106" s="144">
        <f>ROUND(E106*N106,2)</f>
        <v>0.04</v>
      </c>
      <c r="P106" s="144">
        <v>0</v>
      </c>
      <c r="Q106" s="144">
        <f>ROUND(E106*P106,2)</f>
        <v>0</v>
      </c>
      <c r="R106" s="148"/>
      <c r="S106" s="148"/>
      <c r="T106" s="149"/>
      <c r="U106" s="148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ht="12.75" customHeight="1" outlineLevel="1" x14ac:dyDescent="0.2">
      <c r="A107" s="137"/>
      <c r="B107" s="172"/>
      <c r="C107" s="166" t="s">
        <v>230</v>
      </c>
      <c r="D107" s="142"/>
      <c r="E107" s="145"/>
      <c r="F107" s="184"/>
      <c r="G107" s="148"/>
      <c r="H107" s="147"/>
      <c r="I107" s="148"/>
      <c r="J107" s="147"/>
      <c r="K107" s="148"/>
      <c r="L107" s="148"/>
      <c r="M107" s="148"/>
      <c r="N107" s="144"/>
      <c r="O107" s="144"/>
      <c r="P107" s="144"/>
      <c r="Q107" s="144"/>
      <c r="R107" s="148"/>
      <c r="S107" s="148"/>
      <c r="T107" s="149"/>
      <c r="U107" s="148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outlineLevel="1" x14ac:dyDescent="0.2">
      <c r="A108" s="167"/>
      <c r="B108" s="223"/>
      <c r="C108" s="170" t="s">
        <v>220</v>
      </c>
      <c r="D108" s="171"/>
      <c r="E108" s="169">
        <f>(12.72*2)+0.3+3+0.4</f>
        <v>29.14</v>
      </c>
      <c r="F108" s="244"/>
      <c r="G108" s="153"/>
      <c r="H108" s="245"/>
      <c r="I108" s="153"/>
      <c r="J108" s="245"/>
      <c r="K108" s="153"/>
      <c r="L108" s="153"/>
      <c r="M108" s="153"/>
      <c r="N108" s="238"/>
      <c r="O108" s="238"/>
      <c r="P108" s="238"/>
      <c r="Q108" s="238"/>
      <c r="R108" s="148"/>
      <c r="S108" s="148"/>
      <c r="T108" s="149"/>
      <c r="U108" s="148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22.5" outlineLevel="1" x14ac:dyDescent="0.2">
      <c r="A109" s="137">
        <v>31</v>
      </c>
      <c r="B109" s="172">
        <v>764011612</v>
      </c>
      <c r="C109" s="181" t="s">
        <v>223</v>
      </c>
      <c r="D109" s="182" t="s">
        <v>88</v>
      </c>
      <c r="E109" s="145">
        <f>E111</f>
        <v>31.475000000000001</v>
      </c>
      <c r="F109" s="147"/>
      <c r="G109" s="148">
        <f>ROUND(E109*F109,2)</f>
        <v>0</v>
      </c>
      <c r="H109" s="147"/>
      <c r="I109" s="148">
        <f>ROUND(E109*H109,2)</f>
        <v>0</v>
      </c>
      <c r="J109" s="147"/>
      <c r="K109" s="148">
        <f>ROUND(E109*J109,2)</f>
        <v>0</v>
      </c>
      <c r="L109" s="148">
        <v>21</v>
      </c>
      <c r="M109" s="148">
        <f>G109*(1+L109/100)</f>
        <v>0</v>
      </c>
      <c r="N109" s="144">
        <v>1.06E-3</v>
      </c>
      <c r="O109" s="144">
        <f>ROUND(E109*N109,2)</f>
        <v>0.03</v>
      </c>
      <c r="P109" s="144">
        <v>0</v>
      </c>
      <c r="Q109" s="144">
        <f>ROUND(E109*P109,2)</f>
        <v>0</v>
      </c>
      <c r="R109" s="148"/>
      <c r="S109" s="148"/>
      <c r="T109" s="149"/>
      <c r="U109" s="148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22.5" outlineLevel="1" x14ac:dyDescent="0.2">
      <c r="A110" s="137"/>
      <c r="B110" s="172"/>
      <c r="C110" s="166" t="s">
        <v>226</v>
      </c>
      <c r="D110" s="142"/>
      <c r="E110" s="145"/>
      <c r="F110" s="184"/>
      <c r="G110" s="148"/>
      <c r="H110" s="147"/>
      <c r="I110" s="148"/>
      <c r="J110" s="147"/>
      <c r="K110" s="148"/>
      <c r="L110" s="148"/>
      <c r="M110" s="148"/>
      <c r="N110" s="144"/>
      <c r="O110" s="144"/>
      <c r="P110" s="144"/>
      <c r="Q110" s="144"/>
      <c r="R110" s="148"/>
      <c r="S110" s="148"/>
      <c r="T110" s="149"/>
      <c r="U110" s="148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outlineLevel="1" x14ac:dyDescent="0.2">
      <c r="A111" s="167"/>
      <c r="B111" s="223"/>
      <c r="C111" s="170" t="s">
        <v>197</v>
      </c>
      <c r="D111" s="171"/>
      <c r="E111" s="169">
        <f>15.515+15.96</f>
        <v>31.475000000000001</v>
      </c>
      <c r="F111" s="244"/>
      <c r="G111" s="153"/>
      <c r="H111" s="245"/>
      <c r="I111" s="153"/>
      <c r="J111" s="245"/>
      <c r="K111" s="153"/>
      <c r="L111" s="153"/>
      <c r="M111" s="153"/>
      <c r="N111" s="238"/>
      <c r="O111" s="238"/>
      <c r="P111" s="238"/>
      <c r="Q111" s="238"/>
      <c r="R111" s="148"/>
      <c r="S111" s="148"/>
      <c r="T111" s="149"/>
      <c r="U111" s="148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ht="22.5" outlineLevel="1" x14ac:dyDescent="0.2">
      <c r="A112" s="137">
        <v>32</v>
      </c>
      <c r="B112" s="172">
        <v>764011622</v>
      </c>
      <c r="C112" s="181" t="s">
        <v>228</v>
      </c>
      <c r="D112" s="182" t="s">
        <v>88</v>
      </c>
      <c r="E112" s="183">
        <f>E114</f>
        <v>9</v>
      </c>
      <c r="F112" s="147"/>
      <c r="G112" s="148">
        <f>ROUND(E112*F112,2)</f>
        <v>0</v>
      </c>
      <c r="H112" s="147"/>
      <c r="I112" s="148">
        <f>ROUND(E112*H112,2)</f>
        <v>0</v>
      </c>
      <c r="J112" s="147"/>
      <c r="K112" s="148">
        <f>ROUND(E112*J112,2)</f>
        <v>0</v>
      </c>
      <c r="L112" s="148">
        <v>21</v>
      </c>
      <c r="M112" s="148">
        <f>G112*(1+L112/100)</f>
        <v>0</v>
      </c>
      <c r="N112" s="144">
        <v>1.06E-3</v>
      </c>
      <c r="O112" s="144">
        <f>ROUND(E112*N112,2)</f>
        <v>0.01</v>
      </c>
      <c r="P112" s="144">
        <v>0</v>
      </c>
      <c r="Q112" s="144">
        <f>ROUND(E112*P112,2)</f>
        <v>0</v>
      </c>
      <c r="R112" s="148"/>
      <c r="S112" s="148"/>
      <c r="T112" s="149"/>
      <c r="U112" s="148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/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outlineLevel="1" x14ac:dyDescent="0.2">
      <c r="A113" s="137"/>
      <c r="B113" s="172"/>
      <c r="C113" s="166" t="s">
        <v>227</v>
      </c>
      <c r="D113" s="142"/>
      <c r="E113" s="145"/>
      <c r="F113" s="184"/>
      <c r="G113" s="148"/>
      <c r="H113" s="147"/>
      <c r="I113" s="148"/>
      <c r="J113" s="147"/>
      <c r="K113" s="148"/>
      <c r="L113" s="148"/>
      <c r="M113" s="148"/>
      <c r="N113" s="144"/>
      <c r="O113" s="144"/>
      <c r="P113" s="144"/>
      <c r="Q113" s="144"/>
      <c r="R113" s="148"/>
      <c r="S113" s="148"/>
      <c r="T113" s="149"/>
      <c r="U113" s="148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/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 x14ac:dyDescent="0.2">
      <c r="A114" s="167"/>
      <c r="B114" s="226"/>
      <c r="C114" s="202">
        <v>9</v>
      </c>
      <c r="D114" s="171"/>
      <c r="E114" s="169">
        <v>9</v>
      </c>
      <c r="F114" s="244"/>
      <c r="G114" s="153"/>
      <c r="H114" s="245"/>
      <c r="I114" s="153"/>
      <c r="J114" s="245"/>
      <c r="K114" s="153"/>
      <c r="L114" s="153"/>
      <c r="M114" s="153"/>
      <c r="N114" s="238"/>
      <c r="O114" s="238"/>
      <c r="P114" s="238"/>
      <c r="Q114" s="238"/>
      <c r="R114" s="148"/>
      <c r="S114" s="148"/>
      <c r="T114" s="149"/>
      <c r="U114" s="148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ht="33.75" outlineLevel="1" x14ac:dyDescent="0.2">
      <c r="A115" s="137">
        <v>33</v>
      </c>
      <c r="B115" s="172">
        <v>764212636</v>
      </c>
      <c r="C115" s="160" t="s">
        <v>219</v>
      </c>
      <c r="D115" s="141" t="s">
        <v>88</v>
      </c>
      <c r="E115" s="144">
        <f>E116</f>
        <v>29.14</v>
      </c>
      <c r="F115" s="147"/>
      <c r="G115" s="148">
        <f>ROUND(E115*F115,2)</f>
        <v>0</v>
      </c>
      <c r="H115" s="147"/>
      <c r="I115" s="148">
        <f>ROUND(E115*H115,2)</f>
        <v>0</v>
      </c>
      <c r="J115" s="147"/>
      <c r="K115" s="148">
        <f>ROUND(E115*J115,2)</f>
        <v>0</v>
      </c>
      <c r="L115" s="148">
        <v>21</v>
      </c>
      <c r="M115" s="148">
        <f>G115*(1+L115/100)</f>
        <v>0</v>
      </c>
      <c r="N115" s="144">
        <v>4.3299999999999996E-3</v>
      </c>
      <c r="O115" s="144">
        <f>ROUND(E115*N115,2)</f>
        <v>0.13</v>
      </c>
      <c r="P115" s="144">
        <v>0</v>
      </c>
      <c r="Q115" s="144">
        <f>ROUND(E115*P115,2)</f>
        <v>0</v>
      </c>
      <c r="R115" s="148"/>
      <c r="S115" s="148"/>
      <c r="T115" s="149"/>
      <c r="U115" s="148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/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 x14ac:dyDescent="0.2">
      <c r="A116" s="167"/>
      <c r="B116" s="167"/>
      <c r="C116" s="170" t="s">
        <v>220</v>
      </c>
      <c r="D116" s="171"/>
      <c r="E116" s="169">
        <f>(12.72*2)+0.3+3+0.4</f>
        <v>29.14</v>
      </c>
      <c r="F116" s="244"/>
      <c r="G116" s="153"/>
      <c r="H116" s="245"/>
      <c r="I116" s="153"/>
      <c r="J116" s="245"/>
      <c r="K116" s="153"/>
      <c r="L116" s="153"/>
      <c r="M116" s="153"/>
      <c r="N116" s="153"/>
      <c r="O116" s="153"/>
      <c r="P116" s="153"/>
      <c r="Q116" s="153"/>
      <c r="R116" s="148"/>
      <c r="S116" s="148"/>
      <c r="T116" s="149"/>
      <c r="U116" s="148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/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ht="33.75" customHeight="1" outlineLevel="1" x14ac:dyDescent="0.2">
      <c r="A117" s="137">
        <v>34</v>
      </c>
      <c r="B117" s="172">
        <v>764212667</v>
      </c>
      <c r="C117" s="160" t="s">
        <v>196</v>
      </c>
      <c r="D117" s="200" t="s">
        <v>88</v>
      </c>
      <c r="E117" s="233">
        <f>E118</f>
        <v>31.475000000000001</v>
      </c>
      <c r="F117" s="147"/>
      <c r="G117" s="148">
        <f>ROUND(E117*F117,2)</f>
        <v>0</v>
      </c>
      <c r="H117" s="147"/>
      <c r="I117" s="148">
        <f>ROUND(E117*H117,2)</f>
        <v>0</v>
      </c>
      <c r="J117" s="147"/>
      <c r="K117" s="148">
        <f>ROUND(E117*J117,2)</f>
        <v>0</v>
      </c>
      <c r="L117" s="148">
        <v>21</v>
      </c>
      <c r="M117" s="148">
        <f>G117*(1+L117/100)</f>
        <v>0</v>
      </c>
      <c r="N117" s="144">
        <v>4.4299999999999999E-3</v>
      </c>
      <c r="O117" s="144">
        <f>ROUND(E117*N117,2)</f>
        <v>0.14000000000000001</v>
      </c>
      <c r="P117" s="144">
        <v>0</v>
      </c>
      <c r="Q117" s="144">
        <f>ROUND(E117*P117,2)</f>
        <v>0</v>
      </c>
      <c r="R117" s="148"/>
      <c r="S117" s="148"/>
      <c r="T117" s="149"/>
      <c r="U117" s="148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/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 x14ac:dyDescent="0.2">
      <c r="A118" s="167"/>
      <c r="B118" s="180"/>
      <c r="C118" s="170" t="s">
        <v>197</v>
      </c>
      <c r="D118" s="171"/>
      <c r="E118" s="169">
        <f>15.515+15.96</f>
        <v>31.475000000000001</v>
      </c>
      <c r="F118" s="244"/>
      <c r="G118" s="153"/>
      <c r="H118" s="245"/>
      <c r="I118" s="153"/>
      <c r="J118" s="245"/>
      <c r="K118" s="153"/>
      <c r="L118" s="153"/>
      <c r="M118" s="153"/>
      <c r="N118" s="153"/>
      <c r="O118" s="153"/>
      <c r="P118" s="153"/>
      <c r="Q118" s="153"/>
      <c r="R118" s="148"/>
      <c r="S118" s="148"/>
      <c r="T118" s="149"/>
      <c r="U118" s="148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ht="46.5" customHeight="1" outlineLevel="1" x14ac:dyDescent="0.2">
      <c r="A119" s="137">
        <v>35</v>
      </c>
      <c r="B119" s="172">
        <v>764213652</v>
      </c>
      <c r="C119" s="160" t="s">
        <v>198</v>
      </c>
      <c r="D119" s="200" t="s">
        <v>91</v>
      </c>
      <c r="E119" s="197">
        <f>E120</f>
        <v>1</v>
      </c>
      <c r="F119" s="147"/>
      <c r="G119" s="148">
        <f>ROUND(E119*F119,2)</f>
        <v>0</v>
      </c>
      <c r="H119" s="147"/>
      <c r="I119" s="148">
        <f>ROUND(E119*H119,2)</f>
        <v>0</v>
      </c>
      <c r="J119" s="147"/>
      <c r="K119" s="148">
        <f>ROUND(E119*J119,2)</f>
        <v>0</v>
      </c>
      <c r="L119" s="148">
        <v>21</v>
      </c>
      <c r="M119" s="148">
        <f>G119*(1+L119/100)</f>
        <v>0</v>
      </c>
      <c r="N119" s="144">
        <v>3.5999999999999999E-3</v>
      </c>
      <c r="O119" s="144">
        <f>ROUND(E119*N119,2)</f>
        <v>0</v>
      </c>
      <c r="P119" s="144">
        <v>0</v>
      </c>
      <c r="Q119" s="144">
        <f>ROUND(E119*P119,2)</f>
        <v>0</v>
      </c>
      <c r="R119" s="148"/>
      <c r="S119" s="148"/>
      <c r="T119" s="149"/>
      <c r="U119" s="148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outlineLevel="1" x14ac:dyDescent="0.2">
      <c r="A120" s="167"/>
      <c r="B120" s="180"/>
      <c r="C120" s="202">
        <v>1</v>
      </c>
      <c r="D120" s="171"/>
      <c r="E120" s="169">
        <v>1</v>
      </c>
      <c r="F120" s="244"/>
      <c r="G120" s="153"/>
      <c r="H120" s="245"/>
      <c r="I120" s="153"/>
      <c r="J120" s="245"/>
      <c r="K120" s="153"/>
      <c r="L120" s="153"/>
      <c r="M120" s="153"/>
      <c r="N120" s="153"/>
      <c r="O120" s="153"/>
      <c r="P120" s="153"/>
      <c r="Q120" s="153"/>
      <c r="R120" s="148"/>
      <c r="S120" s="148"/>
      <c r="T120" s="149"/>
      <c r="U120" s="148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ht="33.75" outlineLevel="1" x14ac:dyDescent="0.2">
      <c r="A121" s="137">
        <v>36</v>
      </c>
      <c r="B121" s="172">
        <v>764312615</v>
      </c>
      <c r="C121" s="230" t="s">
        <v>212</v>
      </c>
      <c r="D121" s="200" t="s">
        <v>88</v>
      </c>
      <c r="E121" s="233">
        <f>E122</f>
        <v>20.399999999999999</v>
      </c>
      <c r="F121" s="147"/>
      <c r="G121" s="148">
        <f>ROUND(E121*F121,2)</f>
        <v>0</v>
      </c>
      <c r="H121" s="147"/>
      <c r="I121" s="148">
        <f>ROUND(E121*H121,2)</f>
        <v>0</v>
      </c>
      <c r="J121" s="147"/>
      <c r="K121" s="148">
        <f>ROUND(E121*J121,2)</f>
        <v>0</v>
      </c>
      <c r="L121" s="148">
        <v>21</v>
      </c>
      <c r="M121" s="148">
        <f>G121*(1+L121/100)</f>
        <v>0</v>
      </c>
      <c r="N121" s="144">
        <v>3.5000000000000001E-3</v>
      </c>
      <c r="O121" s="144">
        <f>ROUND(E121*N121,2)</f>
        <v>7.0000000000000007E-2</v>
      </c>
      <c r="P121" s="144">
        <v>0</v>
      </c>
      <c r="Q121" s="144">
        <f>ROUND(E121*P121,2)</f>
        <v>0</v>
      </c>
      <c r="R121" s="148"/>
      <c r="S121" s="148"/>
      <c r="T121" s="149"/>
      <c r="U121" s="148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/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outlineLevel="1" x14ac:dyDescent="0.2">
      <c r="A122" s="167"/>
      <c r="B122" s="167"/>
      <c r="C122" s="253" t="s">
        <v>218</v>
      </c>
      <c r="D122" s="199"/>
      <c r="E122" s="228">
        <f>11.4+9</f>
        <v>20.399999999999999</v>
      </c>
      <c r="F122" s="244"/>
      <c r="G122" s="153"/>
      <c r="H122" s="245"/>
      <c r="I122" s="153"/>
      <c r="J122" s="245"/>
      <c r="K122" s="153"/>
      <c r="L122" s="153"/>
      <c r="M122" s="153"/>
      <c r="N122" s="153"/>
      <c r="O122" s="153"/>
      <c r="P122" s="153"/>
      <c r="Q122" s="153"/>
      <c r="R122" s="148"/>
      <c r="S122" s="148"/>
      <c r="T122" s="149"/>
      <c r="U122" s="148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ht="33.75" outlineLevel="1" x14ac:dyDescent="0.2">
      <c r="A123" s="137">
        <v>37</v>
      </c>
      <c r="B123" s="172">
        <v>764513407</v>
      </c>
      <c r="C123" s="230" t="s">
        <v>199</v>
      </c>
      <c r="D123" s="200" t="s">
        <v>88</v>
      </c>
      <c r="E123" s="197">
        <f>E124</f>
        <v>31.475000000000001</v>
      </c>
      <c r="F123" s="147"/>
      <c r="G123" s="148">
        <f>ROUND(E123*F123,2)</f>
        <v>0</v>
      </c>
      <c r="H123" s="147"/>
      <c r="I123" s="148">
        <f>ROUND(E123*H123,2)</f>
        <v>0</v>
      </c>
      <c r="J123" s="147"/>
      <c r="K123" s="148">
        <f>ROUND(E123*J123,2)</f>
        <v>0</v>
      </c>
      <c r="L123" s="148">
        <v>21</v>
      </c>
      <c r="M123" s="148">
        <f>G123*(1+L123/100)</f>
        <v>0</v>
      </c>
      <c r="N123" s="144">
        <v>6.0400000000000002E-3</v>
      </c>
      <c r="O123" s="144">
        <f>ROUND(E123*N123,2)</f>
        <v>0.19</v>
      </c>
      <c r="P123" s="144">
        <v>0</v>
      </c>
      <c r="Q123" s="144">
        <f>ROUND(E123*P123,2)</f>
        <v>0</v>
      </c>
      <c r="R123" s="148"/>
      <c r="S123" s="148"/>
      <c r="T123" s="149"/>
      <c r="U123" s="148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outlineLevel="1" x14ac:dyDescent="0.2">
      <c r="A124" s="167"/>
      <c r="B124" s="180"/>
      <c r="C124" s="170" t="s">
        <v>197</v>
      </c>
      <c r="D124" s="171"/>
      <c r="E124" s="169">
        <f>15.515+15.96</f>
        <v>31.475000000000001</v>
      </c>
      <c r="F124" s="244"/>
      <c r="G124" s="153"/>
      <c r="H124" s="245"/>
      <c r="I124" s="153"/>
      <c r="J124" s="245"/>
      <c r="K124" s="153"/>
      <c r="L124" s="153"/>
      <c r="M124" s="153"/>
      <c r="N124" s="153"/>
      <c r="O124" s="153"/>
      <c r="P124" s="153"/>
      <c r="Q124" s="153"/>
      <c r="R124" s="148"/>
      <c r="S124" s="148"/>
      <c r="T124" s="149"/>
      <c r="U124" s="148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ht="33.75" outlineLevel="1" x14ac:dyDescent="0.2">
      <c r="A125" s="137">
        <v>38</v>
      </c>
      <c r="B125" s="172">
        <v>764518623</v>
      </c>
      <c r="C125" s="230" t="s">
        <v>200</v>
      </c>
      <c r="D125" s="200" t="s">
        <v>88</v>
      </c>
      <c r="E125" s="233">
        <f>E126</f>
        <v>19</v>
      </c>
      <c r="F125" s="147"/>
      <c r="G125" s="148">
        <f>ROUND(E125*F125,2)</f>
        <v>0</v>
      </c>
      <c r="H125" s="147"/>
      <c r="I125" s="148">
        <f>ROUND(E125*H125,2)</f>
        <v>0</v>
      </c>
      <c r="J125" s="147"/>
      <c r="K125" s="148">
        <f>ROUND(E125*J125,2)</f>
        <v>0</v>
      </c>
      <c r="L125" s="148">
        <v>21</v>
      </c>
      <c r="M125" s="148">
        <f>G125*(1+L125/100)</f>
        <v>0</v>
      </c>
      <c r="N125" s="144">
        <v>2.8600000000000001E-3</v>
      </c>
      <c r="O125" s="144">
        <f>ROUND(E125*N125,2)</f>
        <v>0.05</v>
      </c>
      <c r="P125" s="144">
        <v>0</v>
      </c>
      <c r="Q125" s="144">
        <f>ROUND(E125*P125,2)</f>
        <v>0</v>
      </c>
      <c r="R125" s="148"/>
      <c r="S125" s="148"/>
      <c r="T125" s="149"/>
      <c r="U125" s="148"/>
      <c r="V125" s="136"/>
      <c r="W125" s="136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outlineLevel="1" x14ac:dyDescent="0.2">
      <c r="A126" s="167"/>
      <c r="B126" s="180"/>
      <c r="C126" s="170" t="s">
        <v>201</v>
      </c>
      <c r="D126" s="171"/>
      <c r="E126" s="169">
        <f>9.5*2</f>
        <v>19</v>
      </c>
      <c r="F126" s="244"/>
      <c r="G126" s="153"/>
      <c r="H126" s="245"/>
      <c r="I126" s="153"/>
      <c r="J126" s="245"/>
      <c r="K126" s="153"/>
      <c r="L126" s="153"/>
      <c r="M126" s="153"/>
      <c r="N126" s="153"/>
      <c r="O126" s="153"/>
      <c r="P126" s="153"/>
      <c r="Q126" s="153"/>
      <c r="R126" s="148"/>
      <c r="S126" s="148"/>
      <c r="T126" s="149"/>
      <c r="U126" s="148"/>
      <c r="V126" s="136"/>
      <c r="W126" s="136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/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ht="22.5" outlineLevel="1" x14ac:dyDescent="0.2">
      <c r="A127" s="173">
        <v>39</v>
      </c>
      <c r="B127" s="174">
        <v>998764203</v>
      </c>
      <c r="C127" s="257" t="s">
        <v>207</v>
      </c>
      <c r="D127" s="258" t="s">
        <v>0</v>
      </c>
      <c r="E127" s="259">
        <v>1.61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7">
        <v>2.8600000000000001E-3</v>
      </c>
      <c r="O127" s="177">
        <f>ROUND(E127*N127,2)</f>
        <v>0</v>
      </c>
      <c r="P127" s="177">
        <v>0</v>
      </c>
      <c r="Q127" s="177">
        <f>ROUND(E127*P127,2)</f>
        <v>0</v>
      </c>
      <c r="R127" s="148"/>
      <c r="S127" s="148"/>
      <c r="T127" s="149"/>
      <c r="U127" s="148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/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x14ac:dyDescent="0.2">
      <c r="A128" s="140" t="s">
        <v>86</v>
      </c>
      <c r="B128" s="140" t="s">
        <v>56</v>
      </c>
      <c r="C128" s="162" t="s">
        <v>191</v>
      </c>
      <c r="D128" s="143"/>
      <c r="E128" s="146"/>
      <c r="F128" s="150"/>
      <c r="G128" s="150">
        <f>SUMIF(AE129:AE185,"&lt;&gt;NOR",G129:G185)</f>
        <v>0</v>
      </c>
      <c r="H128" s="150"/>
      <c r="I128" s="150">
        <f>SUM(I129:I190)</f>
        <v>0</v>
      </c>
      <c r="J128" s="150"/>
      <c r="K128" s="150">
        <f>SUM(K129:K190)</f>
        <v>0</v>
      </c>
      <c r="L128" s="150"/>
      <c r="M128" s="150">
        <f>SUM(M129:M190)</f>
        <v>0</v>
      </c>
      <c r="N128" s="150"/>
      <c r="O128" s="146">
        <f>SUM(O129:O185)</f>
        <v>0.09</v>
      </c>
      <c r="P128" s="150"/>
      <c r="Q128" s="146">
        <f>SUM(Q129:Q185)</f>
        <v>0</v>
      </c>
      <c r="R128" s="150"/>
      <c r="S128" s="150"/>
      <c r="T128" s="151"/>
      <c r="U128" s="150">
        <f>SUM(U129:U190)</f>
        <v>114800.16</v>
      </c>
      <c r="AE128" t="s">
        <v>87</v>
      </c>
    </row>
    <row r="129" spans="1:60" ht="33.75" outlineLevel="1" x14ac:dyDescent="0.2">
      <c r="A129" s="264">
        <v>40</v>
      </c>
      <c r="B129" s="206">
        <v>765131051</v>
      </c>
      <c r="C129" s="207" t="s">
        <v>155</v>
      </c>
      <c r="D129" s="208" t="s">
        <v>94</v>
      </c>
      <c r="E129" s="211">
        <f>E131</f>
        <v>193</v>
      </c>
      <c r="F129" s="209"/>
      <c r="G129" s="212">
        <f>ROUND(E129*F129,2)</f>
        <v>0</v>
      </c>
      <c r="H129" s="204"/>
      <c r="I129" s="205">
        <f>ROUND(E129*H129,2)</f>
        <v>0</v>
      </c>
      <c r="J129" s="204"/>
      <c r="K129" s="205">
        <f>ROUND(E129*J129,2)</f>
        <v>0</v>
      </c>
      <c r="L129" s="205">
        <v>21</v>
      </c>
      <c r="M129" s="205">
        <f>G129*(1+L129/100)</f>
        <v>0</v>
      </c>
      <c r="N129" s="210">
        <v>6.0000000000000002E-5</v>
      </c>
      <c r="O129" s="210">
        <f>ROUND(E129*N129,2)</f>
        <v>0.01</v>
      </c>
      <c r="P129" s="210">
        <v>0</v>
      </c>
      <c r="Q129" s="210">
        <f>ROUND(E129*P129,2)</f>
        <v>0</v>
      </c>
      <c r="R129" s="203"/>
      <c r="S129" s="148"/>
      <c r="T129" s="149">
        <v>0.61699999999999999</v>
      </c>
      <c r="U129" s="148">
        <f>ROUND(E129*T129,2)</f>
        <v>119.08</v>
      </c>
      <c r="V129" s="213"/>
      <c r="W129" s="136"/>
      <c r="X129" s="136"/>
      <c r="Y129" s="136"/>
      <c r="Z129" s="136"/>
      <c r="AA129" s="136"/>
      <c r="AB129" s="136"/>
      <c r="AC129" s="136"/>
      <c r="AD129" s="136"/>
      <c r="AE129" s="136" t="s">
        <v>92</v>
      </c>
      <c r="AF129" s="136"/>
      <c r="AG129" s="136"/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ht="22.5" customHeight="1" outlineLevel="1" x14ac:dyDescent="0.2">
      <c r="A130" s="137"/>
      <c r="B130" s="172"/>
      <c r="C130" s="166" t="s">
        <v>161</v>
      </c>
      <c r="D130" s="215"/>
      <c r="E130" s="144"/>
      <c r="F130" s="217"/>
      <c r="G130" s="149"/>
      <c r="H130" s="204"/>
      <c r="I130" s="205"/>
      <c r="J130" s="204"/>
      <c r="K130" s="205"/>
      <c r="L130" s="205"/>
      <c r="M130" s="205"/>
      <c r="N130" s="216"/>
      <c r="O130" s="216"/>
      <c r="P130" s="216"/>
      <c r="Q130" s="216"/>
      <c r="R130" s="203"/>
      <c r="S130" s="148"/>
      <c r="T130" s="149"/>
      <c r="U130" s="148"/>
      <c r="V130" s="213"/>
      <c r="W130" s="136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/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 x14ac:dyDescent="0.2">
      <c r="A131" s="167"/>
      <c r="B131" s="226"/>
      <c r="C131" s="202">
        <v>193</v>
      </c>
      <c r="D131" s="171"/>
      <c r="E131" s="169">
        <v>193</v>
      </c>
      <c r="F131" s="222"/>
      <c r="G131" s="154"/>
      <c r="H131" s="219"/>
      <c r="I131" s="220"/>
      <c r="J131" s="219"/>
      <c r="K131" s="220"/>
      <c r="L131" s="220"/>
      <c r="M131" s="220"/>
      <c r="N131" s="221"/>
      <c r="O131" s="221"/>
      <c r="P131" s="221"/>
      <c r="Q131" s="221"/>
      <c r="R131" s="203"/>
      <c r="S131" s="148"/>
      <c r="T131" s="149"/>
      <c r="U131" s="148"/>
      <c r="V131" s="213"/>
      <c r="W131" s="136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/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 x14ac:dyDescent="0.2">
      <c r="A132" s="137">
        <v>41</v>
      </c>
      <c r="B132" s="172" t="s">
        <v>109</v>
      </c>
      <c r="C132" s="230" t="s">
        <v>163</v>
      </c>
      <c r="D132" s="200" t="s">
        <v>94</v>
      </c>
      <c r="E132" s="183">
        <f>E133</f>
        <v>193</v>
      </c>
      <c r="F132" s="209"/>
      <c r="G132" s="212">
        <f>ROUND(E132*F132,2)</f>
        <v>0</v>
      </c>
      <c r="H132" s="204"/>
      <c r="I132" s="205">
        <f>ROUND(E132*H132,2)</f>
        <v>0</v>
      </c>
      <c r="J132" s="204"/>
      <c r="K132" s="205">
        <f>ROUND(E132*J132,2)</f>
        <v>0</v>
      </c>
      <c r="L132" s="205">
        <v>21</v>
      </c>
      <c r="M132" s="205">
        <f>G132*(1+L132/100)</f>
        <v>0</v>
      </c>
      <c r="N132" s="210">
        <v>0</v>
      </c>
      <c r="O132" s="210">
        <f>ROUND(E132*N132,2)</f>
        <v>0</v>
      </c>
      <c r="P132" s="210">
        <v>0</v>
      </c>
      <c r="Q132" s="210">
        <f>ROUND(E132*P132,2)</f>
        <v>0</v>
      </c>
      <c r="R132" s="203"/>
      <c r="S132" s="148"/>
      <c r="T132" s="149"/>
      <c r="U132" s="148"/>
      <c r="V132" s="213"/>
      <c r="W132" s="136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/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 x14ac:dyDescent="0.2">
      <c r="A133" s="137"/>
      <c r="B133" s="172"/>
      <c r="C133" s="225" t="s">
        <v>174</v>
      </c>
      <c r="D133" s="142"/>
      <c r="E133" s="145">
        <v>193</v>
      </c>
      <c r="F133" s="217"/>
      <c r="G133" s="149"/>
      <c r="H133" s="204"/>
      <c r="I133" s="205"/>
      <c r="J133" s="204"/>
      <c r="K133" s="205"/>
      <c r="L133" s="205"/>
      <c r="M133" s="205"/>
      <c r="N133" s="216"/>
      <c r="O133" s="216"/>
      <c r="P133" s="216"/>
      <c r="Q133" s="216"/>
      <c r="R133" s="203"/>
      <c r="S133" s="148"/>
      <c r="T133" s="149"/>
      <c r="U133" s="148"/>
      <c r="V133" s="213"/>
      <c r="W133" s="136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/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 x14ac:dyDescent="0.2">
      <c r="A134" s="137"/>
      <c r="B134" s="172"/>
      <c r="C134" s="166" t="s">
        <v>172</v>
      </c>
      <c r="D134" s="196"/>
      <c r="E134" s="145"/>
      <c r="F134" s="217"/>
      <c r="G134" s="149"/>
      <c r="H134" s="204"/>
      <c r="I134" s="205"/>
      <c r="J134" s="204"/>
      <c r="K134" s="205"/>
      <c r="L134" s="205"/>
      <c r="M134" s="205"/>
      <c r="N134" s="216"/>
      <c r="O134" s="216"/>
      <c r="P134" s="216"/>
      <c r="Q134" s="216"/>
      <c r="R134" s="203"/>
      <c r="S134" s="148"/>
      <c r="T134" s="149"/>
      <c r="U134" s="148"/>
      <c r="V134" s="213"/>
      <c r="W134" s="136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/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 x14ac:dyDescent="0.2">
      <c r="A135" s="137"/>
      <c r="B135" s="172"/>
      <c r="C135" s="166" t="s">
        <v>164</v>
      </c>
      <c r="D135" s="196"/>
      <c r="E135" s="145"/>
      <c r="F135" s="217"/>
      <c r="G135" s="149"/>
      <c r="H135" s="204"/>
      <c r="I135" s="205"/>
      <c r="J135" s="204"/>
      <c r="K135" s="205"/>
      <c r="L135" s="205"/>
      <c r="M135" s="205"/>
      <c r="N135" s="216"/>
      <c r="O135" s="216"/>
      <c r="P135" s="216"/>
      <c r="Q135" s="216"/>
      <c r="R135" s="203"/>
      <c r="S135" s="148"/>
      <c r="T135" s="149"/>
      <c r="U135" s="148"/>
      <c r="V135" s="213"/>
      <c r="W135" s="136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/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outlineLevel="1" x14ac:dyDescent="0.2">
      <c r="A136" s="137"/>
      <c r="B136" s="172"/>
      <c r="C136" s="166" t="s">
        <v>165</v>
      </c>
      <c r="D136" s="196"/>
      <c r="E136" s="145"/>
      <c r="F136" s="217"/>
      <c r="G136" s="149"/>
      <c r="H136" s="204"/>
      <c r="I136" s="205"/>
      <c r="J136" s="204"/>
      <c r="K136" s="205"/>
      <c r="L136" s="205"/>
      <c r="M136" s="205"/>
      <c r="N136" s="216"/>
      <c r="O136" s="216"/>
      <c r="P136" s="216"/>
      <c r="Q136" s="216"/>
      <c r="R136" s="203"/>
      <c r="S136" s="148"/>
      <c r="T136" s="149"/>
      <c r="U136" s="148"/>
      <c r="V136" s="213"/>
      <c r="W136" s="136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/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outlineLevel="1" x14ac:dyDescent="0.2">
      <c r="A137" s="137"/>
      <c r="B137" s="172"/>
      <c r="C137" s="166" t="s">
        <v>166</v>
      </c>
      <c r="D137" s="196"/>
      <c r="E137" s="145"/>
      <c r="F137" s="217"/>
      <c r="G137" s="149"/>
      <c r="H137" s="204"/>
      <c r="I137" s="205"/>
      <c r="J137" s="204"/>
      <c r="K137" s="205"/>
      <c r="L137" s="205"/>
      <c r="M137" s="205"/>
      <c r="N137" s="216"/>
      <c r="O137" s="216"/>
      <c r="P137" s="216"/>
      <c r="Q137" s="216"/>
      <c r="R137" s="203"/>
      <c r="S137" s="148"/>
      <c r="T137" s="149"/>
      <c r="U137" s="148"/>
      <c r="V137" s="213"/>
      <c r="W137" s="136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/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12.75" customHeight="1" outlineLevel="1" x14ac:dyDescent="0.2">
      <c r="A138" s="137"/>
      <c r="B138" s="172"/>
      <c r="C138" s="166" t="s">
        <v>167</v>
      </c>
      <c r="D138" s="196"/>
      <c r="E138" s="145"/>
      <c r="F138" s="217"/>
      <c r="G138" s="149"/>
      <c r="H138" s="204"/>
      <c r="I138" s="205"/>
      <c r="J138" s="204"/>
      <c r="K138" s="205"/>
      <c r="L138" s="205"/>
      <c r="M138" s="205"/>
      <c r="N138" s="216"/>
      <c r="O138" s="216"/>
      <c r="P138" s="216"/>
      <c r="Q138" s="216"/>
      <c r="R138" s="203"/>
      <c r="S138" s="148"/>
      <c r="T138" s="149"/>
      <c r="U138" s="148"/>
      <c r="V138" s="213"/>
      <c r="W138" s="136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/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12.75" customHeight="1" outlineLevel="1" x14ac:dyDescent="0.2">
      <c r="A139" s="137"/>
      <c r="B139" s="172"/>
      <c r="C139" s="166" t="s">
        <v>168</v>
      </c>
      <c r="D139" s="196"/>
      <c r="E139" s="145"/>
      <c r="F139" s="217"/>
      <c r="G139" s="149"/>
      <c r="H139" s="204"/>
      <c r="I139" s="205"/>
      <c r="J139" s="204"/>
      <c r="K139" s="205"/>
      <c r="L139" s="205"/>
      <c r="M139" s="205"/>
      <c r="N139" s="216"/>
      <c r="O139" s="216"/>
      <c r="P139" s="216"/>
      <c r="Q139" s="216"/>
      <c r="R139" s="203"/>
      <c r="S139" s="148"/>
      <c r="T139" s="149"/>
      <c r="U139" s="148"/>
      <c r="V139" s="213"/>
      <c r="W139" s="136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/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outlineLevel="1" x14ac:dyDescent="0.2">
      <c r="A140" s="180"/>
      <c r="B140" s="172"/>
      <c r="C140" s="166" t="s">
        <v>169</v>
      </c>
      <c r="D140" s="196"/>
      <c r="E140" s="145"/>
      <c r="F140" s="217"/>
      <c r="G140" s="149"/>
      <c r="H140" s="204"/>
      <c r="I140" s="205"/>
      <c r="J140" s="204"/>
      <c r="K140" s="205"/>
      <c r="L140" s="205"/>
      <c r="M140" s="205"/>
      <c r="N140" s="216"/>
      <c r="O140" s="216"/>
      <c r="P140" s="216"/>
      <c r="Q140" s="216"/>
      <c r="R140" s="203"/>
      <c r="S140" s="148"/>
      <c r="T140" s="149"/>
      <c r="U140" s="148"/>
      <c r="V140" s="213"/>
      <c r="W140" s="136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/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33.75" outlineLevel="1" x14ac:dyDescent="0.2">
      <c r="A141" s="137">
        <v>42</v>
      </c>
      <c r="B141" s="206">
        <v>765131061</v>
      </c>
      <c r="C141" s="207" t="s">
        <v>154</v>
      </c>
      <c r="D141" s="208" t="s">
        <v>94</v>
      </c>
      <c r="E141" s="211">
        <f>E143</f>
        <v>169</v>
      </c>
      <c r="F141" s="209"/>
      <c r="G141" s="212">
        <f>ROUND(E141*F141,2)</f>
        <v>0</v>
      </c>
      <c r="H141" s="204"/>
      <c r="I141" s="205">
        <f>ROUND(E141*H141,2)</f>
        <v>0</v>
      </c>
      <c r="J141" s="204"/>
      <c r="K141" s="205">
        <f>ROUND(E141*J141,2)</f>
        <v>0</v>
      </c>
      <c r="L141" s="205">
        <v>21</v>
      </c>
      <c r="M141" s="205">
        <f>G141*(1+L141/100)</f>
        <v>0</v>
      </c>
      <c r="N141" s="210">
        <v>1.2E-4</v>
      </c>
      <c r="O141" s="210">
        <f>ROUND(E141*N141,2)</f>
        <v>0.02</v>
      </c>
      <c r="P141" s="210">
        <v>0</v>
      </c>
      <c r="Q141" s="210">
        <f>ROUND(E141*P141,2)</f>
        <v>0</v>
      </c>
      <c r="R141" s="203"/>
      <c r="S141" s="148"/>
      <c r="T141" s="149"/>
      <c r="U141" s="148"/>
      <c r="V141" s="213"/>
      <c r="W141" s="136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/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ht="22.5" outlineLevel="1" x14ac:dyDescent="0.2">
      <c r="A142" s="137"/>
      <c r="B142" s="172"/>
      <c r="C142" s="166" t="s">
        <v>162</v>
      </c>
      <c r="D142" s="215"/>
      <c r="E142" s="144"/>
      <c r="F142" s="217"/>
      <c r="G142" s="149"/>
      <c r="H142" s="204"/>
      <c r="I142" s="205"/>
      <c r="J142" s="204"/>
      <c r="K142" s="205"/>
      <c r="L142" s="205"/>
      <c r="M142" s="205"/>
      <c r="N142" s="216"/>
      <c r="O142" s="216"/>
      <c r="P142" s="216"/>
      <c r="Q142" s="216"/>
      <c r="R142" s="203"/>
      <c r="S142" s="148"/>
      <c r="T142" s="149"/>
      <c r="U142" s="148"/>
      <c r="V142" s="213"/>
      <c r="W142" s="136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/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outlineLevel="1" x14ac:dyDescent="0.2">
      <c r="A143" s="180"/>
      <c r="B143" s="226"/>
      <c r="C143" s="202">
        <v>169</v>
      </c>
      <c r="D143" s="171"/>
      <c r="E143" s="169">
        <v>169</v>
      </c>
      <c r="F143" s="222"/>
      <c r="G143" s="154"/>
      <c r="H143" s="219"/>
      <c r="I143" s="220"/>
      <c r="J143" s="219"/>
      <c r="K143" s="220"/>
      <c r="L143" s="220"/>
      <c r="M143" s="220"/>
      <c r="N143" s="221"/>
      <c r="O143" s="221"/>
      <c r="P143" s="221"/>
      <c r="Q143" s="221"/>
      <c r="R143" s="203"/>
      <c r="S143" s="148"/>
      <c r="T143" s="149"/>
      <c r="U143" s="148"/>
      <c r="V143" s="213"/>
      <c r="W143" s="136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/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outlineLevel="1" x14ac:dyDescent="0.2">
      <c r="A144" s="137">
        <v>43</v>
      </c>
      <c r="B144" s="172" t="s">
        <v>109</v>
      </c>
      <c r="C144" s="214" t="s">
        <v>170</v>
      </c>
      <c r="D144" s="200" t="s">
        <v>94</v>
      </c>
      <c r="E144" s="233">
        <f>E145</f>
        <v>169</v>
      </c>
      <c r="F144" s="209"/>
      <c r="G144" s="212">
        <f>ROUND(E144*F144,2)</f>
        <v>0</v>
      </c>
      <c r="H144" s="204"/>
      <c r="I144" s="205">
        <f>ROUND(E144*H144,2)</f>
        <v>0</v>
      </c>
      <c r="J144" s="204"/>
      <c r="K144" s="205">
        <f>ROUND(E144*J144,2)</f>
        <v>0</v>
      </c>
      <c r="L144" s="205">
        <v>21</v>
      </c>
      <c r="M144" s="205">
        <f>G144*(1+L144/100)</f>
        <v>0</v>
      </c>
      <c r="N144" s="210">
        <v>0</v>
      </c>
      <c r="O144" s="210">
        <f>ROUND(E144*N144,2)</f>
        <v>0</v>
      </c>
      <c r="P144" s="210">
        <v>0</v>
      </c>
      <c r="Q144" s="210">
        <f>ROUND(E144*P144,2)</f>
        <v>0</v>
      </c>
      <c r="R144" s="203"/>
      <c r="S144" s="148"/>
      <c r="T144" s="149"/>
      <c r="U144" s="148"/>
      <c r="V144" s="213"/>
      <c r="W144" s="136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/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outlineLevel="1" x14ac:dyDescent="0.2">
      <c r="A145" s="137"/>
      <c r="B145" s="172"/>
      <c r="C145" s="225" t="s">
        <v>173</v>
      </c>
      <c r="D145" s="196"/>
      <c r="E145" s="197">
        <v>169</v>
      </c>
      <c r="F145" s="217"/>
      <c r="G145" s="149"/>
      <c r="H145" s="204"/>
      <c r="I145" s="205"/>
      <c r="J145" s="204"/>
      <c r="K145" s="205"/>
      <c r="L145" s="205"/>
      <c r="M145" s="205"/>
      <c r="N145" s="216"/>
      <c r="O145" s="216"/>
      <c r="P145" s="216"/>
      <c r="Q145" s="216"/>
      <c r="R145" s="203"/>
      <c r="S145" s="148"/>
      <c r="T145" s="149"/>
      <c r="U145" s="148"/>
      <c r="V145" s="213"/>
      <c r="W145" s="136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/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outlineLevel="1" x14ac:dyDescent="0.2">
      <c r="A146" s="137"/>
      <c r="B146" s="172"/>
      <c r="C146" s="166" t="s">
        <v>171</v>
      </c>
      <c r="D146" s="196"/>
      <c r="E146" s="197"/>
      <c r="F146" s="217"/>
      <c r="G146" s="149"/>
      <c r="H146" s="204"/>
      <c r="I146" s="205"/>
      <c r="J146" s="204"/>
      <c r="K146" s="205"/>
      <c r="L146" s="205"/>
      <c r="M146" s="205"/>
      <c r="N146" s="216"/>
      <c r="O146" s="216"/>
      <c r="P146" s="216"/>
      <c r="Q146" s="216"/>
      <c r="R146" s="203"/>
      <c r="S146" s="148"/>
      <c r="T146" s="149"/>
      <c r="U146" s="148"/>
      <c r="V146" s="213"/>
      <c r="W146" s="136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/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 x14ac:dyDescent="0.2">
      <c r="A147" s="137"/>
      <c r="B147" s="172"/>
      <c r="C147" s="166" t="s">
        <v>175</v>
      </c>
      <c r="D147" s="196"/>
      <c r="E147" s="197"/>
      <c r="F147" s="217"/>
      <c r="G147" s="149"/>
      <c r="H147" s="204"/>
      <c r="I147" s="205"/>
      <c r="J147" s="204"/>
      <c r="K147" s="205"/>
      <c r="L147" s="205"/>
      <c r="M147" s="205"/>
      <c r="N147" s="216"/>
      <c r="O147" s="216"/>
      <c r="P147" s="216"/>
      <c r="Q147" s="216"/>
      <c r="R147" s="203"/>
      <c r="S147" s="148"/>
      <c r="T147" s="149"/>
      <c r="U147" s="148"/>
      <c r="V147" s="213"/>
      <c r="W147" s="136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/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 x14ac:dyDescent="0.2">
      <c r="A148" s="137"/>
      <c r="B148" s="172"/>
      <c r="C148" s="166" t="s">
        <v>164</v>
      </c>
      <c r="D148" s="196"/>
      <c r="E148" s="197"/>
      <c r="F148" s="217"/>
      <c r="G148" s="149"/>
      <c r="H148" s="204"/>
      <c r="I148" s="205"/>
      <c r="J148" s="204"/>
      <c r="K148" s="205"/>
      <c r="L148" s="205"/>
      <c r="M148" s="205"/>
      <c r="N148" s="216"/>
      <c r="O148" s="216"/>
      <c r="P148" s="216"/>
      <c r="Q148" s="216"/>
      <c r="R148" s="203"/>
      <c r="S148" s="148"/>
      <c r="T148" s="149"/>
      <c r="U148" s="148"/>
      <c r="V148" s="213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 x14ac:dyDescent="0.2">
      <c r="A149" s="137"/>
      <c r="B149" s="172"/>
      <c r="C149" s="166" t="s">
        <v>176</v>
      </c>
      <c r="D149" s="196"/>
      <c r="E149" s="197"/>
      <c r="F149" s="217"/>
      <c r="G149" s="149"/>
      <c r="H149" s="204"/>
      <c r="I149" s="205"/>
      <c r="J149" s="204"/>
      <c r="K149" s="205"/>
      <c r="L149" s="205"/>
      <c r="M149" s="205"/>
      <c r="N149" s="216"/>
      <c r="O149" s="216"/>
      <c r="P149" s="216"/>
      <c r="Q149" s="216"/>
      <c r="R149" s="203"/>
      <c r="S149" s="148"/>
      <c r="T149" s="149"/>
      <c r="U149" s="148"/>
      <c r="V149" s="213"/>
      <c r="W149" s="136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/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 outlineLevel="1" x14ac:dyDescent="0.2">
      <c r="A150" s="137"/>
      <c r="B150" s="172"/>
      <c r="C150" s="166" t="s">
        <v>166</v>
      </c>
      <c r="D150" s="196"/>
      <c r="E150" s="197"/>
      <c r="F150" s="217"/>
      <c r="G150" s="149"/>
      <c r="H150" s="204"/>
      <c r="I150" s="205"/>
      <c r="J150" s="204"/>
      <c r="K150" s="205"/>
      <c r="L150" s="205"/>
      <c r="M150" s="205"/>
      <c r="N150" s="216"/>
      <c r="O150" s="216"/>
      <c r="P150" s="216"/>
      <c r="Q150" s="216"/>
      <c r="R150" s="203"/>
      <c r="S150" s="148"/>
      <c r="T150" s="149"/>
      <c r="U150" s="148"/>
      <c r="V150" s="213"/>
      <c r="W150" s="136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/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  <c r="BG150" s="136"/>
      <c r="BH150" s="136"/>
    </row>
    <row r="151" spans="1:60" ht="12.75" customHeight="1" outlineLevel="1" x14ac:dyDescent="0.2">
      <c r="A151" s="137"/>
      <c r="B151" s="172"/>
      <c r="C151" s="166" t="s">
        <v>177</v>
      </c>
      <c r="D151" s="196"/>
      <c r="E151" s="197"/>
      <c r="F151" s="217"/>
      <c r="G151" s="149"/>
      <c r="H151" s="204"/>
      <c r="I151" s="205"/>
      <c r="J151" s="204"/>
      <c r="K151" s="205"/>
      <c r="L151" s="205"/>
      <c r="M151" s="205"/>
      <c r="N151" s="216"/>
      <c r="O151" s="216"/>
      <c r="P151" s="216"/>
      <c r="Q151" s="216"/>
      <c r="R151" s="203"/>
      <c r="S151" s="148"/>
      <c r="T151" s="149"/>
      <c r="U151" s="148"/>
      <c r="V151" s="213"/>
      <c r="W151" s="136"/>
      <c r="X151" s="136"/>
      <c r="Y151" s="136"/>
      <c r="Z151" s="136"/>
      <c r="AA151" s="136"/>
      <c r="AB151" s="136"/>
      <c r="AC151" s="136"/>
      <c r="AD151" s="136"/>
      <c r="AE151" s="136"/>
      <c r="AF151" s="136"/>
      <c r="AG151" s="136"/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</row>
    <row r="152" spans="1:60" outlineLevel="1" x14ac:dyDescent="0.2">
      <c r="A152" s="137"/>
      <c r="B152" s="172"/>
      <c r="C152" s="166" t="s">
        <v>235</v>
      </c>
      <c r="D152" s="196"/>
      <c r="E152" s="197"/>
      <c r="F152" s="217"/>
      <c r="G152" s="149"/>
      <c r="H152" s="204"/>
      <c r="I152" s="205"/>
      <c r="J152" s="204"/>
      <c r="K152" s="205"/>
      <c r="L152" s="205"/>
      <c r="M152" s="205"/>
      <c r="N152" s="216"/>
      <c r="O152" s="216"/>
      <c r="P152" s="216"/>
      <c r="Q152" s="216"/>
      <c r="R152" s="203"/>
      <c r="S152" s="148"/>
      <c r="T152" s="149"/>
      <c r="U152" s="148"/>
      <c r="V152" s="213"/>
      <c r="W152" s="136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/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 x14ac:dyDescent="0.2">
      <c r="A153" s="137"/>
      <c r="B153" s="172"/>
      <c r="C153" s="166" t="s">
        <v>178</v>
      </c>
      <c r="D153" s="196"/>
      <c r="E153" s="197"/>
      <c r="F153" s="217"/>
      <c r="G153" s="149"/>
      <c r="H153" s="204"/>
      <c r="I153" s="205"/>
      <c r="J153" s="204"/>
      <c r="K153" s="205"/>
      <c r="L153" s="205"/>
      <c r="M153" s="205"/>
      <c r="N153" s="216"/>
      <c r="O153" s="216"/>
      <c r="P153" s="216"/>
      <c r="Q153" s="216"/>
      <c r="R153" s="203"/>
      <c r="S153" s="148"/>
      <c r="T153" s="149"/>
      <c r="U153" s="148"/>
      <c r="V153" s="213"/>
      <c r="W153" s="136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/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 x14ac:dyDescent="0.2">
      <c r="A154" s="137"/>
      <c r="B154" s="172"/>
      <c r="C154" s="166" t="s">
        <v>179</v>
      </c>
      <c r="D154" s="196"/>
      <c r="E154" s="197"/>
      <c r="F154" s="217"/>
      <c r="G154" s="149"/>
      <c r="H154" s="204"/>
      <c r="I154" s="205"/>
      <c r="J154" s="204"/>
      <c r="K154" s="205"/>
      <c r="L154" s="205"/>
      <c r="M154" s="205"/>
      <c r="N154" s="216"/>
      <c r="O154" s="216"/>
      <c r="P154" s="216"/>
      <c r="Q154" s="216"/>
      <c r="R154" s="203"/>
      <c r="S154" s="148"/>
      <c r="T154" s="149"/>
      <c r="U154" s="148"/>
      <c r="V154" s="213"/>
      <c r="W154" s="136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/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 x14ac:dyDescent="0.2">
      <c r="A155" s="137"/>
      <c r="B155" s="172"/>
      <c r="C155" s="166" t="s">
        <v>180</v>
      </c>
      <c r="D155" s="196"/>
      <c r="E155" s="197"/>
      <c r="F155" s="217"/>
      <c r="G155" s="149"/>
      <c r="H155" s="204"/>
      <c r="I155" s="205"/>
      <c r="J155" s="204"/>
      <c r="K155" s="205"/>
      <c r="L155" s="205"/>
      <c r="M155" s="205"/>
      <c r="N155" s="216"/>
      <c r="O155" s="216"/>
      <c r="P155" s="216"/>
      <c r="Q155" s="216"/>
      <c r="R155" s="203"/>
      <c r="S155" s="148"/>
      <c r="T155" s="149"/>
      <c r="U155" s="148"/>
      <c r="V155" s="213"/>
      <c r="W155" s="136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/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 x14ac:dyDescent="0.2">
      <c r="A156" s="137"/>
      <c r="B156" s="172"/>
      <c r="C156" s="166" t="s">
        <v>181</v>
      </c>
      <c r="D156" s="196"/>
      <c r="E156" s="197"/>
      <c r="F156" s="217"/>
      <c r="G156" s="149"/>
      <c r="H156" s="204"/>
      <c r="I156" s="205"/>
      <c r="J156" s="204"/>
      <c r="K156" s="205"/>
      <c r="L156" s="205"/>
      <c r="M156" s="205"/>
      <c r="N156" s="216"/>
      <c r="O156" s="216"/>
      <c r="P156" s="216"/>
      <c r="Q156" s="216"/>
      <c r="R156" s="203"/>
      <c r="S156" s="148"/>
      <c r="T156" s="149"/>
      <c r="U156" s="148"/>
      <c r="V156" s="213"/>
      <c r="W156" s="136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/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outlineLevel="1" x14ac:dyDescent="0.2">
      <c r="A157" s="137"/>
      <c r="B157" s="172"/>
      <c r="C157" s="166" t="s">
        <v>182</v>
      </c>
      <c r="D157" s="196"/>
      <c r="E157" s="197"/>
      <c r="F157" s="217"/>
      <c r="G157" s="149"/>
      <c r="H157" s="204"/>
      <c r="I157" s="205"/>
      <c r="J157" s="204"/>
      <c r="K157" s="205"/>
      <c r="L157" s="205"/>
      <c r="M157" s="205"/>
      <c r="N157" s="216"/>
      <c r="O157" s="216"/>
      <c r="P157" s="216"/>
      <c r="Q157" s="216"/>
      <c r="R157" s="203"/>
      <c r="S157" s="148"/>
      <c r="T157" s="149"/>
      <c r="U157" s="148"/>
      <c r="V157" s="213"/>
      <c r="W157" s="136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/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 x14ac:dyDescent="0.2">
      <c r="A158" s="137"/>
      <c r="B158" s="172"/>
      <c r="C158" s="166" t="s">
        <v>183</v>
      </c>
      <c r="D158" s="196"/>
      <c r="E158" s="197"/>
      <c r="F158" s="217"/>
      <c r="G158" s="149"/>
      <c r="H158" s="204"/>
      <c r="I158" s="205"/>
      <c r="J158" s="204"/>
      <c r="K158" s="205"/>
      <c r="L158" s="205"/>
      <c r="M158" s="205"/>
      <c r="N158" s="216"/>
      <c r="O158" s="216"/>
      <c r="P158" s="216"/>
      <c r="Q158" s="216"/>
      <c r="R158" s="203"/>
      <c r="S158" s="148"/>
      <c r="T158" s="149"/>
      <c r="U158" s="148"/>
      <c r="V158" s="213"/>
      <c r="W158" s="136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/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ht="22.5" outlineLevel="1" x14ac:dyDescent="0.2">
      <c r="A159" s="137"/>
      <c r="B159" s="172"/>
      <c r="C159" s="166" t="s">
        <v>234</v>
      </c>
      <c r="D159" s="196"/>
      <c r="E159" s="197"/>
      <c r="F159" s="217"/>
      <c r="G159" s="149"/>
      <c r="H159" s="204"/>
      <c r="I159" s="205"/>
      <c r="J159" s="204"/>
      <c r="K159" s="205"/>
      <c r="L159" s="205"/>
      <c r="M159" s="205"/>
      <c r="N159" s="216"/>
      <c r="O159" s="216"/>
      <c r="P159" s="216"/>
      <c r="Q159" s="216"/>
      <c r="R159" s="203"/>
      <c r="S159" s="148"/>
      <c r="T159" s="149"/>
      <c r="U159" s="148"/>
      <c r="V159" s="213"/>
      <c r="W159" s="136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/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outlineLevel="1" x14ac:dyDescent="0.2">
      <c r="A160" s="167"/>
      <c r="B160" s="223"/>
      <c r="C160" s="166" t="s">
        <v>169</v>
      </c>
      <c r="D160" s="199"/>
      <c r="E160" s="169"/>
      <c r="F160" s="217"/>
      <c r="G160" s="149"/>
      <c r="H160" s="204"/>
      <c r="I160" s="205"/>
      <c r="J160" s="204"/>
      <c r="K160" s="205"/>
      <c r="L160" s="205"/>
      <c r="M160" s="205"/>
      <c r="N160" s="216"/>
      <c r="O160" s="216"/>
      <c r="P160" s="216"/>
      <c r="Q160" s="216"/>
      <c r="R160" s="203"/>
      <c r="S160" s="148"/>
      <c r="T160" s="149"/>
      <c r="U160" s="148"/>
      <c r="V160" s="213"/>
      <c r="W160" s="136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/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ht="22.5" outlineLevel="1" x14ac:dyDescent="0.2">
      <c r="A161" s="137">
        <v>44</v>
      </c>
      <c r="B161" s="172">
        <v>765131131</v>
      </c>
      <c r="C161" s="207" t="s">
        <v>159</v>
      </c>
      <c r="D161" s="200" t="s">
        <v>88</v>
      </c>
      <c r="E161" s="233">
        <f>E162</f>
        <v>31.5</v>
      </c>
      <c r="F161" s="209"/>
      <c r="G161" s="212">
        <f>ROUND(E161*F161,2)</f>
        <v>0</v>
      </c>
      <c r="H161" s="204"/>
      <c r="I161" s="205">
        <f>ROUND(E161*H161,2)</f>
        <v>0</v>
      </c>
      <c r="J161" s="204"/>
      <c r="K161" s="205">
        <f>ROUND(E161*J161,2)</f>
        <v>0</v>
      </c>
      <c r="L161" s="205">
        <v>21</v>
      </c>
      <c r="M161" s="205">
        <f>G161*(1+L161/100)</f>
        <v>0</v>
      </c>
      <c r="N161" s="210">
        <v>2.0000000000000002E-5</v>
      </c>
      <c r="O161" s="210">
        <f>ROUND(E161*N161,2)</f>
        <v>0</v>
      </c>
      <c r="P161" s="210">
        <v>0</v>
      </c>
      <c r="Q161" s="210">
        <f>ROUND(E161*P161,2)</f>
        <v>0</v>
      </c>
      <c r="R161" s="203"/>
      <c r="S161" s="148"/>
      <c r="T161" s="149"/>
      <c r="U161" s="148"/>
      <c r="V161" s="213"/>
      <c r="W161" s="136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/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 x14ac:dyDescent="0.2">
      <c r="A162" s="167"/>
      <c r="B162" s="226"/>
      <c r="C162" s="202" t="s">
        <v>158</v>
      </c>
      <c r="D162" s="199"/>
      <c r="E162" s="228">
        <f>15.5+16</f>
        <v>31.5</v>
      </c>
      <c r="F162" s="222"/>
      <c r="G162" s="154"/>
      <c r="H162" s="219"/>
      <c r="I162" s="220"/>
      <c r="J162" s="219"/>
      <c r="K162" s="220"/>
      <c r="L162" s="220"/>
      <c r="M162" s="220"/>
      <c r="N162" s="221"/>
      <c r="O162" s="221"/>
      <c r="P162" s="221"/>
      <c r="Q162" s="221"/>
      <c r="R162" s="203"/>
      <c r="S162" s="148"/>
      <c r="T162" s="149"/>
      <c r="U162" s="148"/>
      <c r="V162" s="213"/>
      <c r="W162" s="136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/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ht="22.5" outlineLevel="1" x14ac:dyDescent="0.2">
      <c r="A163" s="264">
        <v>45</v>
      </c>
      <c r="B163" s="234">
        <v>765131191</v>
      </c>
      <c r="C163" s="207" t="s">
        <v>160</v>
      </c>
      <c r="D163" s="200" t="s">
        <v>88</v>
      </c>
      <c r="E163" s="233">
        <f>E164</f>
        <v>16</v>
      </c>
      <c r="F163" s="209"/>
      <c r="G163" s="212">
        <f>ROUND(E163*F163,2)</f>
        <v>0</v>
      </c>
      <c r="H163" s="204"/>
      <c r="I163" s="205">
        <f>ROUND(E163*H163,2)</f>
        <v>0</v>
      </c>
      <c r="J163" s="204"/>
      <c r="K163" s="205">
        <f>ROUND(E163*J163,2)</f>
        <v>0</v>
      </c>
      <c r="L163" s="205">
        <v>21</v>
      </c>
      <c r="M163" s="205">
        <f>G163*(1+L163/100)</f>
        <v>0</v>
      </c>
      <c r="N163" s="210">
        <v>2.0000000000000002E-5</v>
      </c>
      <c r="O163" s="210">
        <f>ROUND(E163*N163,2)</f>
        <v>0</v>
      </c>
      <c r="P163" s="210">
        <v>0</v>
      </c>
      <c r="Q163" s="210">
        <f>ROUND(E163*P163,2)</f>
        <v>0</v>
      </c>
      <c r="R163" s="203"/>
      <c r="S163" s="148"/>
      <c r="T163" s="149"/>
      <c r="U163" s="148"/>
      <c r="V163" s="213"/>
      <c r="W163" s="136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/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 x14ac:dyDescent="0.2">
      <c r="A164" s="167"/>
      <c r="B164" s="223"/>
      <c r="C164" s="202">
        <v>16</v>
      </c>
      <c r="D164" s="199"/>
      <c r="E164" s="228">
        <v>16</v>
      </c>
      <c r="F164" s="222"/>
      <c r="G164" s="154"/>
      <c r="H164" s="219"/>
      <c r="I164" s="220"/>
      <c r="J164" s="219"/>
      <c r="K164" s="220"/>
      <c r="L164" s="220"/>
      <c r="M164" s="220"/>
      <c r="N164" s="221"/>
      <c r="O164" s="221"/>
      <c r="P164" s="221"/>
      <c r="Q164" s="221"/>
      <c r="R164" s="203"/>
      <c r="S164" s="148"/>
      <c r="T164" s="149"/>
      <c r="U164" s="148"/>
      <c r="V164" s="213"/>
      <c r="W164" s="136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/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 x14ac:dyDescent="0.2">
      <c r="A165" s="264">
        <v>46</v>
      </c>
      <c r="B165" s="206">
        <v>765131281</v>
      </c>
      <c r="C165" s="229" t="s">
        <v>157</v>
      </c>
      <c r="D165" s="231" t="s">
        <v>94</v>
      </c>
      <c r="E165" s="232">
        <f>E167</f>
        <v>169</v>
      </c>
      <c r="F165" s="209"/>
      <c r="G165" s="212">
        <f>ROUND(E165*F165,2)</f>
        <v>0</v>
      </c>
      <c r="H165" s="204"/>
      <c r="I165" s="205">
        <f>ROUND(E165*H165,2)</f>
        <v>0</v>
      </c>
      <c r="J165" s="204"/>
      <c r="K165" s="205">
        <f>ROUND(E165*J165,2)</f>
        <v>0</v>
      </c>
      <c r="L165" s="205">
        <v>21</v>
      </c>
      <c r="M165" s="205">
        <f>G165*(1+L165/100)</f>
        <v>0</v>
      </c>
      <c r="N165" s="210">
        <v>0</v>
      </c>
      <c r="O165" s="210">
        <f>ROUND(E165*N165,2)</f>
        <v>0</v>
      </c>
      <c r="P165" s="210">
        <v>0</v>
      </c>
      <c r="Q165" s="210">
        <f>ROUND(E165*P165,2)</f>
        <v>0</v>
      </c>
      <c r="R165" s="203"/>
      <c r="S165" s="148"/>
      <c r="T165" s="149"/>
      <c r="U165" s="148"/>
      <c r="V165" s="213"/>
      <c r="W165" s="136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 x14ac:dyDescent="0.2">
      <c r="A166" s="137"/>
      <c r="B166" s="172"/>
      <c r="C166" s="166" t="s">
        <v>156</v>
      </c>
      <c r="D166" s="196"/>
      <c r="E166" s="197"/>
      <c r="F166" s="217"/>
      <c r="G166" s="149"/>
      <c r="H166" s="204"/>
      <c r="I166" s="205"/>
      <c r="J166" s="204"/>
      <c r="K166" s="205"/>
      <c r="L166" s="205"/>
      <c r="M166" s="205"/>
      <c r="N166" s="216"/>
      <c r="O166" s="216"/>
      <c r="P166" s="216"/>
      <c r="Q166" s="216"/>
      <c r="R166" s="203"/>
      <c r="S166" s="148"/>
      <c r="T166" s="149"/>
      <c r="U166" s="148"/>
      <c r="V166" s="213"/>
      <c r="W166" s="136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/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 x14ac:dyDescent="0.2">
      <c r="A167" s="167"/>
      <c r="B167" s="226"/>
      <c r="C167" s="227">
        <v>169</v>
      </c>
      <c r="D167" s="199"/>
      <c r="E167" s="228">
        <v>169</v>
      </c>
      <c r="F167" s="222"/>
      <c r="G167" s="154"/>
      <c r="H167" s="219"/>
      <c r="I167" s="220"/>
      <c r="J167" s="219"/>
      <c r="K167" s="220"/>
      <c r="L167" s="220"/>
      <c r="M167" s="220"/>
      <c r="N167" s="221"/>
      <c r="O167" s="221"/>
      <c r="P167" s="221"/>
      <c r="Q167" s="221"/>
      <c r="R167" s="203"/>
      <c r="S167" s="148"/>
      <c r="T167" s="149"/>
      <c r="U167" s="148"/>
      <c r="V167" s="213"/>
      <c r="W167" s="136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/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ht="22.5" outlineLevel="1" x14ac:dyDescent="0.2">
      <c r="A168" s="137">
        <v>47</v>
      </c>
      <c r="B168" s="172">
        <v>765135013</v>
      </c>
      <c r="C168" s="160" t="s">
        <v>121</v>
      </c>
      <c r="D168" s="141" t="s">
        <v>91</v>
      </c>
      <c r="E168" s="144">
        <f>E169</f>
        <v>1</v>
      </c>
      <c r="F168" s="147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7">
        <v>0</v>
      </c>
      <c r="O168" s="177">
        <f>ROUND(E168*N168,2)</f>
        <v>0</v>
      </c>
      <c r="P168" s="177">
        <v>0</v>
      </c>
      <c r="Q168" s="177">
        <f>ROUND(E168*P168,2)</f>
        <v>0</v>
      </c>
      <c r="R168" s="148"/>
      <c r="S168" s="148"/>
      <c r="T168" s="149"/>
      <c r="U168" s="148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 x14ac:dyDescent="0.2">
      <c r="A169" s="167"/>
      <c r="B169" s="226"/>
      <c r="C169" s="202">
        <v>1</v>
      </c>
      <c r="D169" s="199"/>
      <c r="E169" s="228">
        <v>1</v>
      </c>
      <c r="F169" s="244"/>
      <c r="G169" s="153"/>
      <c r="H169" s="245"/>
      <c r="I169" s="153"/>
      <c r="J169" s="245"/>
      <c r="K169" s="153"/>
      <c r="L169" s="153"/>
      <c r="M169" s="153"/>
      <c r="N169" s="238"/>
      <c r="O169" s="238"/>
      <c r="P169" s="238"/>
      <c r="Q169" s="238"/>
      <c r="R169" s="148"/>
      <c r="S169" s="148"/>
      <c r="T169" s="149"/>
      <c r="U169" s="148"/>
      <c r="V169" s="136"/>
      <c r="W169" s="136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/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 x14ac:dyDescent="0.2">
      <c r="A170" s="137">
        <v>48</v>
      </c>
      <c r="B170" s="137" t="s">
        <v>109</v>
      </c>
      <c r="C170" s="160" t="s">
        <v>153</v>
      </c>
      <c r="D170" s="141" t="s">
        <v>91</v>
      </c>
      <c r="E170" s="144">
        <f>E172</f>
        <v>1</v>
      </c>
      <c r="F170" s="147"/>
      <c r="G170" s="148">
        <f>ROUND(E170*F170,2)</f>
        <v>0</v>
      </c>
      <c r="H170" s="147"/>
      <c r="I170" s="148">
        <f>ROUND(E170*H170,2)</f>
        <v>0</v>
      </c>
      <c r="J170" s="147"/>
      <c r="K170" s="148">
        <f>ROUND(E170*J170,2)</f>
        <v>0</v>
      </c>
      <c r="L170" s="148">
        <v>21</v>
      </c>
      <c r="M170" s="148">
        <f>G170*(1+L170/100)</f>
        <v>0</v>
      </c>
      <c r="N170" s="144">
        <v>9.1000000000000004E-3</v>
      </c>
      <c r="O170" s="144">
        <f>ROUND(E170*N170,2)</f>
        <v>0.01</v>
      </c>
      <c r="P170" s="144">
        <v>0</v>
      </c>
      <c r="Q170" s="144">
        <f>ROUND(E170*P170,2)</f>
        <v>0</v>
      </c>
      <c r="R170" s="148"/>
      <c r="S170" s="148"/>
      <c r="T170" s="149"/>
      <c r="U170" s="148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ht="22.5" outlineLevel="1" x14ac:dyDescent="0.2">
      <c r="A171" s="137"/>
      <c r="B171" s="137"/>
      <c r="C171" s="166" t="s">
        <v>110</v>
      </c>
      <c r="D171" s="215"/>
      <c r="E171" s="216"/>
      <c r="F171" s="147"/>
      <c r="G171" s="148"/>
      <c r="H171" s="147"/>
      <c r="I171" s="148"/>
      <c r="J171" s="147"/>
      <c r="K171" s="148"/>
      <c r="L171" s="148"/>
      <c r="M171" s="148"/>
      <c r="N171" s="144"/>
      <c r="O171" s="144"/>
      <c r="P171" s="144"/>
      <c r="Q171" s="144"/>
      <c r="R171" s="148"/>
      <c r="S171" s="148"/>
      <c r="T171" s="149"/>
      <c r="U171" s="148"/>
      <c r="V171" s="136"/>
      <c r="W171" s="136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/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outlineLevel="1" x14ac:dyDescent="0.2">
      <c r="A172" s="167"/>
      <c r="B172" s="180"/>
      <c r="C172" s="253">
        <v>1</v>
      </c>
      <c r="D172" s="199"/>
      <c r="E172" s="228">
        <v>1</v>
      </c>
      <c r="F172" s="168"/>
      <c r="G172" s="168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48"/>
      <c r="S172" s="148"/>
      <c r="T172" s="149"/>
      <c r="U172" s="148"/>
      <c r="V172" s="213"/>
      <c r="W172" s="136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/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ht="22.5" outlineLevel="1" x14ac:dyDescent="0.2">
      <c r="A173" s="264">
        <v>49</v>
      </c>
      <c r="B173" s="206">
        <v>765191021</v>
      </c>
      <c r="C173" s="207" t="s">
        <v>149</v>
      </c>
      <c r="D173" s="208" t="s">
        <v>91</v>
      </c>
      <c r="E173" s="211">
        <f>E176</f>
        <v>379.88220000000001</v>
      </c>
      <c r="F173" s="209"/>
      <c r="G173" s="212">
        <f>ROUND(E173*F173,2)</f>
        <v>0</v>
      </c>
      <c r="H173" s="204"/>
      <c r="I173" s="205">
        <f>ROUND(E173*H173,2)</f>
        <v>0</v>
      </c>
      <c r="J173" s="204"/>
      <c r="K173" s="205">
        <f>ROUND(E173*J173,2)</f>
        <v>0</v>
      </c>
      <c r="L173" s="205">
        <v>21</v>
      </c>
      <c r="M173" s="205">
        <f>G173*(1+L173/100)</f>
        <v>0</v>
      </c>
      <c r="N173" s="210">
        <v>0</v>
      </c>
      <c r="O173" s="210">
        <f>ROUND(E173*N173,2)</f>
        <v>0</v>
      </c>
      <c r="P173" s="210">
        <v>0</v>
      </c>
      <c r="Q173" s="210">
        <f>ROUND(E173*P173,2)</f>
        <v>0</v>
      </c>
      <c r="R173" s="148"/>
      <c r="S173" s="148"/>
      <c r="T173" s="149"/>
      <c r="U173" s="148"/>
      <c r="V173" s="213"/>
      <c r="W173" s="136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/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outlineLevel="1" x14ac:dyDescent="0.2">
      <c r="A174" s="137"/>
      <c r="B174" s="172"/>
      <c r="C174" s="161" t="s">
        <v>119</v>
      </c>
      <c r="D174" s="142"/>
      <c r="E174" s="145">
        <f>11.4*15.515</f>
        <v>176.87100000000001</v>
      </c>
      <c r="F174" s="217"/>
      <c r="G174" s="149"/>
      <c r="H174" s="204"/>
      <c r="I174" s="205"/>
      <c r="J174" s="204"/>
      <c r="K174" s="205"/>
      <c r="L174" s="205"/>
      <c r="M174" s="205"/>
      <c r="N174" s="216"/>
      <c r="O174" s="216"/>
      <c r="P174" s="216"/>
      <c r="Q174" s="216"/>
      <c r="R174" s="148"/>
      <c r="S174" s="148"/>
      <c r="T174" s="149"/>
      <c r="U174" s="148"/>
      <c r="V174" s="213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outlineLevel="1" x14ac:dyDescent="0.2">
      <c r="A175" s="137"/>
      <c r="B175" s="172"/>
      <c r="C175" s="161" t="s">
        <v>120</v>
      </c>
      <c r="D175" s="142"/>
      <c r="E175" s="169">
        <f>12.72*15.96</f>
        <v>203.01120000000003</v>
      </c>
      <c r="F175" s="217"/>
      <c r="G175" s="149"/>
      <c r="H175" s="204"/>
      <c r="I175" s="205"/>
      <c r="J175" s="204"/>
      <c r="K175" s="205"/>
      <c r="L175" s="205"/>
      <c r="M175" s="205"/>
      <c r="N175" s="216"/>
      <c r="O175" s="216"/>
      <c r="P175" s="216"/>
      <c r="Q175" s="216"/>
      <c r="R175" s="148"/>
      <c r="S175" s="148"/>
      <c r="T175" s="149"/>
      <c r="U175" s="148"/>
      <c r="V175" s="213"/>
      <c r="W175" s="136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outlineLevel="1" x14ac:dyDescent="0.2">
      <c r="A176" s="167"/>
      <c r="B176" s="223"/>
      <c r="C176" s="170"/>
      <c r="D176" s="171"/>
      <c r="E176" s="169">
        <f>SUM(E174:E175)</f>
        <v>379.88220000000001</v>
      </c>
      <c r="F176" s="222"/>
      <c r="G176" s="154"/>
      <c r="H176" s="219"/>
      <c r="I176" s="220"/>
      <c r="J176" s="219"/>
      <c r="K176" s="220"/>
      <c r="L176" s="220"/>
      <c r="M176" s="220"/>
      <c r="N176" s="221"/>
      <c r="O176" s="221"/>
      <c r="P176" s="221"/>
      <c r="Q176" s="221"/>
      <c r="R176" s="148"/>
      <c r="S176" s="148"/>
      <c r="T176" s="149"/>
      <c r="U176" s="148"/>
      <c r="V176" s="213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outlineLevel="1" x14ac:dyDescent="0.2">
      <c r="A177" s="137">
        <v>50</v>
      </c>
      <c r="B177" s="172" t="s">
        <v>109</v>
      </c>
      <c r="C177" s="224" t="s">
        <v>150</v>
      </c>
      <c r="D177" s="200" t="s">
        <v>94</v>
      </c>
      <c r="E177" s="183">
        <f>E180</f>
        <v>436.86453</v>
      </c>
      <c r="F177" s="209"/>
      <c r="G177" s="212">
        <f>ROUND(E177*F177,2)</f>
        <v>0</v>
      </c>
      <c r="H177" s="204"/>
      <c r="I177" s="205">
        <f>ROUND(E177*H177,2)</f>
        <v>0</v>
      </c>
      <c r="J177" s="204"/>
      <c r="K177" s="205">
        <f>ROUND(E177*J177,2)</f>
        <v>0</v>
      </c>
      <c r="L177" s="205">
        <v>21</v>
      </c>
      <c r="M177" s="205">
        <f>G177*(1+L177/100)</f>
        <v>0</v>
      </c>
      <c r="N177" s="210">
        <v>0</v>
      </c>
      <c r="O177" s="210">
        <f>ROUND(E177*N177,2)</f>
        <v>0</v>
      </c>
      <c r="P177" s="210">
        <v>0</v>
      </c>
      <c r="Q177" s="210">
        <f>ROUND(E177*P177,2)</f>
        <v>0</v>
      </c>
      <c r="R177" s="148"/>
      <c r="S177" s="148"/>
      <c r="T177" s="149"/>
      <c r="U177" s="148"/>
      <c r="V177" s="213"/>
      <c r="W177" s="136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/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outlineLevel="1" x14ac:dyDescent="0.2">
      <c r="A178" s="137"/>
      <c r="B178" s="172"/>
      <c r="C178" s="161" t="s">
        <v>151</v>
      </c>
      <c r="D178" s="142"/>
      <c r="E178" s="145">
        <f>11.4*15.515*1.15</f>
        <v>203.40164999999999</v>
      </c>
      <c r="F178" s="217"/>
      <c r="G178" s="149"/>
      <c r="H178" s="204"/>
      <c r="I178" s="205"/>
      <c r="J178" s="204"/>
      <c r="K178" s="205"/>
      <c r="L178" s="205"/>
      <c r="M178" s="205"/>
      <c r="N178" s="216"/>
      <c r="O178" s="216"/>
      <c r="P178" s="216"/>
      <c r="Q178" s="216"/>
      <c r="R178" s="148"/>
      <c r="S178" s="148"/>
      <c r="T178" s="149"/>
      <c r="U178" s="148"/>
      <c r="V178" s="213"/>
      <c r="W178" s="136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/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outlineLevel="1" x14ac:dyDescent="0.2">
      <c r="A179" s="137"/>
      <c r="B179" s="172"/>
      <c r="C179" s="161" t="s">
        <v>152</v>
      </c>
      <c r="D179" s="142"/>
      <c r="E179" s="169">
        <f>12.72*15.96*1.15</f>
        <v>233.46288000000001</v>
      </c>
      <c r="F179" s="217"/>
      <c r="G179" s="149"/>
      <c r="H179" s="204"/>
      <c r="I179" s="205"/>
      <c r="J179" s="204"/>
      <c r="K179" s="205"/>
      <c r="L179" s="205"/>
      <c r="M179" s="205"/>
      <c r="N179" s="216"/>
      <c r="O179" s="216"/>
      <c r="P179" s="216"/>
      <c r="Q179" s="216"/>
      <c r="R179" s="148"/>
      <c r="S179" s="148"/>
      <c r="T179" s="149"/>
      <c r="U179" s="148"/>
      <c r="V179" s="213"/>
      <c r="W179" s="136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/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outlineLevel="1" x14ac:dyDescent="0.2">
      <c r="A180" s="167"/>
      <c r="B180" s="223"/>
      <c r="C180" s="170"/>
      <c r="D180" s="171"/>
      <c r="E180" s="169">
        <f>SUM(E178:E179)</f>
        <v>436.86453</v>
      </c>
      <c r="F180" s="244"/>
      <c r="G180" s="153"/>
      <c r="H180" s="245"/>
      <c r="I180" s="153"/>
      <c r="J180" s="245"/>
      <c r="K180" s="153"/>
      <c r="L180" s="153"/>
      <c r="M180" s="153"/>
      <c r="N180" s="238"/>
      <c r="O180" s="238"/>
      <c r="P180" s="238"/>
      <c r="Q180" s="238"/>
      <c r="R180" s="148"/>
      <c r="S180" s="148"/>
      <c r="T180" s="149"/>
      <c r="U180" s="148"/>
      <c r="V180" s="136"/>
      <c r="W180" s="136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/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outlineLevel="1" x14ac:dyDescent="0.2">
      <c r="A181" s="137">
        <v>51</v>
      </c>
      <c r="B181" s="172">
        <v>765192001</v>
      </c>
      <c r="C181" s="181" t="s">
        <v>118</v>
      </c>
      <c r="D181" s="182" t="s">
        <v>94</v>
      </c>
      <c r="E181" s="183">
        <f>E184</f>
        <v>379.88220000000001</v>
      </c>
      <c r="F181" s="147"/>
      <c r="G181" s="148">
        <f>ROUND(E181*F181,2)</f>
        <v>0</v>
      </c>
      <c r="H181" s="147"/>
      <c r="I181" s="148">
        <f>ROUND(E181*H181,2)</f>
        <v>0</v>
      </c>
      <c r="J181" s="147"/>
      <c r="K181" s="148">
        <f>ROUND(E181*J181,2)</f>
        <v>0</v>
      </c>
      <c r="L181" s="148">
        <v>21</v>
      </c>
      <c r="M181" s="148">
        <f>G181*(1+L181/100)</f>
        <v>0</v>
      </c>
      <c r="N181" s="144">
        <v>1.3999999999999999E-4</v>
      </c>
      <c r="O181" s="144">
        <f>ROUND(E181*N181,2)</f>
        <v>0.05</v>
      </c>
      <c r="P181" s="144">
        <v>0</v>
      </c>
      <c r="Q181" s="144">
        <f>ROUND(E181*P181,2)</f>
        <v>0</v>
      </c>
      <c r="R181" s="148"/>
      <c r="S181" s="148"/>
      <c r="T181" s="149"/>
      <c r="U181" s="148"/>
      <c r="V181" s="136"/>
      <c r="W181" s="136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outlineLevel="1" x14ac:dyDescent="0.2">
      <c r="A182" s="137"/>
      <c r="B182" s="172"/>
      <c r="C182" s="161" t="s">
        <v>119</v>
      </c>
      <c r="D182" s="142"/>
      <c r="E182" s="145">
        <f>11.4*15.515</f>
        <v>176.87100000000001</v>
      </c>
      <c r="F182" s="148"/>
      <c r="G182" s="148"/>
      <c r="H182" s="148"/>
      <c r="I182" s="148"/>
      <c r="J182" s="148"/>
      <c r="K182" s="148"/>
      <c r="L182" s="148"/>
      <c r="M182" s="148"/>
      <c r="N182" s="148"/>
      <c r="O182" s="148"/>
      <c r="P182" s="148"/>
      <c r="Q182" s="148"/>
      <c r="R182" s="148"/>
      <c r="S182" s="148"/>
      <c r="T182" s="149"/>
      <c r="U182" s="148"/>
      <c r="V182" s="136"/>
      <c r="W182" s="136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outlineLevel="1" x14ac:dyDescent="0.2">
      <c r="A183" s="137"/>
      <c r="B183" s="137"/>
      <c r="C183" s="161" t="s">
        <v>120</v>
      </c>
      <c r="D183" s="142"/>
      <c r="E183" s="169">
        <f>12.72*15.96</f>
        <v>203.01120000000003</v>
      </c>
      <c r="F183" s="148"/>
      <c r="G183" s="148"/>
      <c r="H183" s="148"/>
      <c r="I183" s="148"/>
      <c r="J183" s="148"/>
      <c r="K183" s="148"/>
      <c r="L183" s="148"/>
      <c r="M183" s="148"/>
      <c r="N183" s="148"/>
      <c r="O183" s="148"/>
      <c r="P183" s="148"/>
      <c r="Q183" s="148"/>
      <c r="R183" s="148"/>
      <c r="S183" s="148"/>
      <c r="T183" s="149"/>
      <c r="U183" s="148"/>
      <c r="V183" s="136"/>
      <c r="W183" s="136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outlineLevel="1" x14ac:dyDescent="0.2">
      <c r="A184" s="167"/>
      <c r="B184" s="167"/>
      <c r="C184" s="170"/>
      <c r="D184" s="171"/>
      <c r="E184" s="169">
        <f>SUM(E182:E183)</f>
        <v>379.88220000000001</v>
      </c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48"/>
      <c r="S184" s="148"/>
      <c r="T184" s="149"/>
      <c r="U184" s="148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ht="22.5" outlineLevel="1" x14ac:dyDescent="0.2">
      <c r="A185" s="173">
        <v>52</v>
      </c>
      <c r="B185" s="174">
        <v>998765203</v>
      </c>
      <c r="C185" s="175" t="s">
        <v>194</v>
      </c>
      <c r="D185" s="176" t="s">
        <v>0</v>
      </c>
      <c r="E185" s="177">
        <v>6.03</v>
      </c>
      <c r="F185" s="178"/>
      <c r="G185" s="179">
        <f>ROUND(E185*F185,2)</f>
        <v>0</v>
      </c>
      <c r="H185" s="178"/>
      <c r="I185" s="179">
        <f>ROUND(E185*H185,2)</f>
        <v>0</v>
      </c>
      <c r="J185" s="178"/>
      <c r="K185" s="179">
        <f>ROUND(E185*J185,2)</f>
        <v>0</v>
      </c>
      <c r="L185" s="179">
        <v>21</v>
      </c>
      <c r="M185" s="179">
        <f>G185*(1+L185/100)</f>
        <v>0</v>
      </c>
      <c r="N185" s="179">
        <v>0</v>
      </c>
      <c r="O185" s="179">
        <f>ROUND(E185*N185,2)</f>
        <v>0</v>
      </c>
      <c r="P185" s="179">
        <v>0</v>
      </c>
      <c r="Q185" s="179">
        <f>ROUND(E185*P185,2)</f>
        <v>0</v>
      </c>
      <c r="R185" s="148"/>
      <c r="S185" s="148"/>
      <c r="T185" s="149"/>
      <c r="U185" s="148"/>
      <c r="V185" s="136"/>
      <c r="W185" s="136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x14ac:dyDescent="0.2">
      <c r="A186" s="140" t="s">
        <v>86</v>
      </c>
      <c r="B186" s="235">
        <v>767</v>
      </c>
      <c r="C186" s="162" t="s">
        <v>189</v>
      </c>
      <c r="D186" s="143"/>
      <c r="E186" s="146"/>
      <c r="F186" s="150"/>
      <c r="G186" s="150">
        <f>SUMIF(AE187:AE187,"&lt;&gt;NOR",G187:G187)</f>
        <v>0</v>
      </c>
      <c r="H186" s="150"/>
      <c r="I186" s="150">
        <f>SUM(I187:I187)</f>
        <v>0</v>
      </c>
      <c r="J186" s="150"/>
      <c r="K186" s="150">
        <f>SUM(K187:K187)</f>
        <v>0</v>
      </c>
      <c r="L186" s="150"/>
      <c r="M186" s="150">
        <f>SUM(M187:M187)</f>
        <v>0</v>
      </c>
      <c r="N186" s="150"/>
      <c r="O186" s="146">
        <f>SUM(O187:O187)</f>
        <v>0</v>
      </c>
      <c r="P186" s="150"/>
      <c r="Q186" s="146">
        <f>SUM(Q187:Q187)</f>
        <v>2.66</v>
      </c>
      <c r="R186" s="150"/>
      <c r="S186" s="150"/>
      <c r="T186" s="151"/>
      <c r="U186" s="150">
        <f>SUM(U187:U187)</f>
        <v>57336.17</v>
      </c>
      <c r="AE186" t="s">
        <v>87</v>
      </c>
    </row>
    <row r="187" spans="1:60" outlineLevel="1" x14ac:dyDescent="0.2">
      <c r="A187" s="137">
        <v>53</v>
      </c>
      <c r="B187" s="172">
        <v>767392802</v>
      </c>
      <c r="C187" s="214" t="s">
        <v>190</v>
      </c>
      <c r="D187" s="246" t="s">
        <v>94</v>
      </c>
      <c r="E187" s="144">
        <f>E190</f>
        <v>379.88220000000001</v>
      </c>
      <c r="F187" s="147"/>
      <c r="G187" s="148">
        <f>ROUND(E187*F187,2)</f>
        <v>0</v>
      </c>
      <c r="H187" s="147"/>
      <c r="I187" s="148">
        <f>ROUND(E187*H187,2)</f>
        <v>0</v>
      </c>
      <c r="J187" s="147"/>
      <c r="K187" s="148">
        <f>ROUND(E187*J187,2)</f>
        <v>0</v>
      </c>
      <c r="L187" s="148">
        <v>21</v>
      </c>
      <c r="M187" s="148">
        <f>G187*(1+L187/100)</f>
        <v>0</v>
      </c>
      <c r="N187" s="148">
        <v>0</v>
      </c>
      <c r="O187" s="144">
        <f>ROUND(E187*N187,2)</f>
        <v>0</v>
      </c>
      <c r="P187" s="144">
        <v>7.0000000000000001E-3</v>
      </c>
      <c r="Q187" s="144">
        <f>ROUND(E187*P187,2)</f>
        <v>2.66</v>
      </c>
      <c r="R187" s="148"/>
      <c r="S187" s="148"/>
      <c r="T187" s="149">
        <v>150.93144000000001</v>
      </c>
      <c r="U187" s="148">
        <f>ROUND(E187*T187,2)</f>
        <v>57336.17</v>
      </c>
      <c r="V187" s="136"/>
      <c r="W187" s="136"/>
      <c r="X187" s="136"/>
      <c r="Y187" s="136"/>
      <c r="Z187" s="136"/>
      <c r="AA187" s="136"/>
      <c r="AB187" s="136"/>
      <c r="AC187" s="136"/>
      <c r="AD187" s="136"/>
      <c r="AE187" s="136" t="s">
        <v>89</v>
      </c>
      <c r="AF187" s="136"/>
      <c r="AG187" s="136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outlineLevel="1" x14ac:dyDescent="0.2">
      <c r="A188" s="137"/>
      <c r="B188" s="172"/>
      <c r="C188" s="161" t="s">
        <v>119</v>
      </c>
      <c r="D188" s="142"/>
      <c r="E188" s="145">
        <f>11.4*15.515</f>
        <v>176.87100000000001</v>
      </c>
      <c r="F188" s="148"/>
      <c r="G188" s="148"/>
      <c r="H188" s="147"/>
      <c r="I188" s="148"/>
      <c r="J188" s="147"/>
      <c r="K188" s="148"/>
      <c r="L188" s="148"/>
      <c r="M188" s="148"/>
      <c r="N188" s="148"/>
      <c r="O188" s="148"/>
      <c r="P188" s="148"/>
      <c r="Q188" s="148"/>
      <c r="R188" s="148"/>
      <c r="S188" s="148"/>
      <c r="T188" s="149"/>
      <c r="U188" s="148"/>
      <c r="V188" s="136"/>
      <c r="W188" s="136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outlineLevel="1" x14ac:dyDescent="0.2">
      <c r="A189" s="137"/>
      <c r="B189" s="137"/>
      <c r="C189" s="161" t="s">
        <v>120</v>
      </c>
      <c r="D189" s="142"/>
      <c r="E189" s="169">
        <f>12.72*15.96</f>
        <v>203.01120000000003</v>
      </c>
      <c r="F189" s="148"/>
      <c r="G189" s="188"/>
      <c r="H189" s="148"/>
      <c r="I189" s="148"/>
      <c r="J189" s="148"/>
      <c r="K189" s="148"/>
      <c r="L189" s="148"/>
      <c r="M189" s="148"/>
      <c r="N189" s="148"/>
      <c r="O189" s="148"/>
      <c r="P189" s="148"/>
      <c r="Q189" s="148"/>
      <c r="R189" s="148"/>
      <c r="S189" s="148"/>
      <c r="T189" s="149"/>
      <c r="U189" s="148"/>
      <c r="V189" s="136"/>
      <c r="W189" s="136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8"/>
      <c r="BB189" s="136"/>
      <c r="BC189" s="136"/>
      <c r="BD189" s="136"/>
      <c r="BE189" s="136"/>
      <c r="BF189" s="136"/>
      <c r="BG189" s="136"/>
      <c r="BH189" s="136"/>
    </row>
    <row r="190" spans="1:60" outlineLevel="1" x14ac:dyDescent="0.2">
      <c r="A190" s="167"/>
      <c r="B190" s="180"/>
      <c r="C190" s="170"/>
      <c r="D190" s="171"/>
      <c r="E190" s="169">
        <f>SUM(E188:E189)</f>
        <v>379.88220000000001</v>
      </c>
      <c r="F190" s="153"/>
      <c r="G190" s="153"/>
      <c r="H190" s="245"/>
      <c r="I190" s="153"/>
      <c r="J190" s="245"/>
      <c r="K190" s="153"/>
      <c r="L190" s="153"/>
      <c r="M190" s="153"/>
      <c r="N190" s="153"/>
      <c r="O190" s="153"/>
      <c r="P190" s="153"/>
      <c r="Q190" s="153"/>
      <c r="R190" s="148"/>
      <c r="S190" s="148"/>
      <c r="T190" s="149">
        <v>2.3E-2</v>
      </c>
      <c r="U190" s="148">
        <f>ROUND(E190*T190,2)</f>
        <v>8.74</v>
      </c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 t="s">
        <v>92</v>
      </c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x14ac:dyDescent="0.2">
      <c r="A191" s="140" t="s">
        <v>86</v>
      </c>
      <c r="B191" s="140" t="s">
        <v>57</v>
      </c>
      <c r="C191" s="162" t="s">
        <v>236</v>
      </c>
      <c r="D191" s="143"/>
      <c r="E191" s="146"/>
      <c r="F191" s="150"/>
      <c r="G191" s="150">
        <f>SUMIF(AE192:AE225,"&lt;&gt;NOR",G192:G225)</f>
        <v>0</v>
      </c>
      <c r="H191" s="150"/>
      <c r="I191" s="150">
        <f>SUM(I225:I225)</f>
        <v>0</v>
      </c>
      <c r="J191" s="150"/>
      <c r="K191" s="150">
        <f>SUM(K225:K225)</f>
        <v>0</v>
      </c>
      <c r="L191" s="150"/>
      <c r="M191" s="150">
        <f>SUM(M225:M225)</f>
        <v>0</v>
      </c>
      <c r="N191" s="150"/>
      <c r="O191" s="150">
        <f>SUM(O192:O225)</f>
        <v>0</v>
      </c>
      <c r="P191" s="150"/>
      <c r="Q191" s="150">
        <f>SUM(Q192:Q225)</f>
        <v>0</v>
      </c>
      <c r="R191" s="150"/>
      <c r="S191" s="150"/>
      <c r="T191" s="151"/>
      <c r="U191" s="150">
        <f>SUM(U225:U225)</f>
        <v>0</v>
      </c>
      <c r="AE191" t="s">
        <v>87</v>
      </c>
    </row>
    <row r="192" spans="1:60" ht="22.5" customHeight="1" outlineLevel="1" x14ac:dyDescent="0.2">
      <c r="A192" s="173"/>
      <c r="B192" s="174"/>
      <c r="C192" s="265" t="s">
        <v>238</v>
      </c>
      <c r="D192" s="266"/>
      <c r="E192" s="267"/>
      <c r="F192" s="268"/>
      <c r="G192" s="179"/>
      <c r="H192" s="178"/>
      <c r="I192" s="179"/>
      <c r="J192" s="178"/>
      <c r="K192" s="179"/>
      <c r="L192" s="179"/>
      <c r="M192" s="179"/>
      <c r="N192" s="177"/>
      <c r="O192" s="177"/>
      <c r="P192" s="177"/>
      <c r="Q192" s="177"/>
      <c r="R192" s="148"/>
      <c r="S192" s="148"/>
      <c r="T192" s="149"/>
      <c r="U192" s="148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outlineLevel="1" x14ac:dyDescent="0.2">
      <c r="A193" s="137">
        <v>54</v>
      </c>
      <c r="B193" s="172"/>
      <c r="C193" s="181" t="s">
        <v>237</v>
      </c>
      <c r="D193" s="182" t="s">
        <v>91</v>
      </c>
      <c r="E193" s="183">
        <f>E194</f>
        <v>1</v>
      </c>
      <c r="F193" s="147"/>
      <c r="G193" s="148">
        <f>ROUND(E193*F193,2)</f>
        <v>0</v>
      </c>
      <c r="H193" s="147"/>
      <c r="I193" s="148">
        <f>ROUND(E193*H193,2)</f>
        <v>0</v>
      </c>
      <c r="J193" s="147"/>
      <c r="K193" s="148">
        <f>ROUND(E193*J193,2)</f>
        <v>0</v>
      </c>
      <c r="L193" s="148">
        <v>21</v>
      </c>
      <c r="M193" s="148">
        <f>G193*(1+L193/100)</f>
        <v>0</v>
      </c>
      <c r="N193" s="144">
        <v>0</v>
      </c>
      <c r="O193" s="144">
        <f>ROUND(E193*N193,2)</f>
        <v>0</v>
      </c>
      <c r="P193" s="144">
        <v>0</v>
      </c>
      <c r="Q193" s="144">
        <f>ROUND(E193*P193,2)</f>
        <v>0</v>
      </c>
      <c r="R193" s="148"/>
      <c r="S193" s="148"/>
      <c r="T193" s="149"/>
      <c r="U193" s="148"/>
      <c r="V193" s="136"/>
      <c r="W193" s="136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</row>
    <row r="194" spans="1:60" outlineLevel="1" x14ac:dyDescent="0.2">
      <c r="A194" s="167"/>
      <c r="B194" s="226"/>
      <c r="C194" s="202">
        <v>1</v>
      </c>
      <c r="D194" s="171"/>
      <c r="E194" s="169">
        <v>1</v>
      </c>
      <c r="F194" s="244"/>
      <c r="G194" s="153"/>
      <c r="H194" s="245"/>
      <c r="I194" s="153"/>
      <c r="J194" s="245"/>
      <c r="K194" s="153"/>
      <c r="L194" s="153"/>
      <c r="M194" s="153"/>
      <c r="N194" s="238"/>
      <c r="O194" s="238"/>
      <c r="P194" s="238"/>
      <c r="Q194" s="238"/>
      <c r="R194" s="148"/>
      <c r="S194" s="148"/>
      <c r="T194" s="149"/>
      <c r="U194" s="148"/>
      <c r="V194" s="136"/>
      <c r="W194" s="136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outlineLevel="1" x14ac:dyDescent="0.2">
      <c r="A195" s="137">
        <v>55</v>
      </c>
      <c r="B195" s="172"/>
      <c r="C195" s="224" t="s">
        <v>239</v>
      </c>
      <c r="D195" s="182" t="s">
        <v>91</v>
      </c>
      <c r="E195" s="183">
        <f>E196</f>
        <v>1</v>
      </c>
      <c r="F195" s="147"/>
      <c r="G195" s="148">
        <f>ROUND(E195*F195,2)</f>
        <v>0</v>
      </c>
      <c r="H195" s="147"/>
      <c r="I195" s="148">
        <f>ROUND(E195*H195,2)</f>
        <v>0</v>
      </c>
      <c r="J195" s="147"/>
      <c r="K195" s="148">
        <f>ROUND(E195*J195,2)</f>
        <v>0</v>
      </c>
      <c r="L195" s="148">
        <v>21</v>
      </c>
      <c r="M195" s="148">
        <f>G195*(1+L195/100)</f>
        <v>0</v>
      </c>
      <c r="N195" s="144">
        <v>0</v>
      </c>
      <c r="O195" s="144">
        <f>ROUND(E195*N195,2)</f>
        <v>0</v>
      </c>
      <c r="P195" s="144">
        <v>0</v>
      </c>
      <c r="Q195" s="144">
        <f>ROUND(E195*P195,2)</f>
        <v>0</v>
      </c>
      <c r="R195" s="148"/>
      <c r="S195" s="148"/>
      <c r="T195" s="149"/>
      <c r="U195" s="148"/>
      <c r="V195" s="136"/>
      <c r="W195" s="136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</row>
    <row r="196" spans="1:60" outlineLevel="1" x14ac:dyDescent="0.2">
      <c r="A196" s="167"/>
      <c r="B196" s="223"/>
      <c r="C196" s="202">
        <v>1</v>
      </c>
      <c r="D196" s="171"/>
      <c r="E196" s="169">
        <v>1</v>
      </c>
      <c r="F196" s="244"/>
      <c r="G196" s="153"/>
      <c r="H196" s="245"/>
      <c r="I196" s="153"/>
      <c r="J196" s="245"/>
      <c r="K196" s="153"/>
      <c r="L196" s="153"/>
      <c r="M196" s="153"/>
      <c r="N196" s="238"/>
      <c r="O196" s="238"/>
      <c r="P196" s="238"/>
      <c r="Q196" s="238"/>
      <c r="R196" s="148"/>
      <c r="S196" s="148"/>
      <c r="T196" s="149"/>
      <c r="U196" s="148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ht="12.75" customHeight="1" outlineLevel="1" x14ac:dyDescent="0.2">
      <c r="A197" s="137">
        <v>56</v>
      </c>
      <c r="B197" s="172"/>
      <c r="C197" s="224" t="s">
        <v>245</v>
      </c>
      <c r="D197" s="182" t="s">
        <v>88</v>
      </c>
      <c r="E197" s="183">
        <f>E198</f>
        <v>63</v>
      </c>
      <c r="F197" s="147"/>
      <c r="G197" s="148">
        <f>ROUND(E197*F197,2)</f>
        <v>0</v>
      </c>
      <c r="H197" s="147"/>
      <c r="I197" s="148">
        <f>ROUND(E197*H197,2)</f>
        <v>0</v>
      </c>
      <c r="J197" s="147"/>
      <c r="K197" s="148">
        <f>ROUND(E197*J197,2)</f>
        <v>0</v>
      </c>
      <c r="L197" s="148">
        <v>21</v>
      </c>
      <c r="M197" s="148">
        <f>G197*(1+L197/100)</f>
        <v>0</v>
      </c>
      <c r="N197" s="144">
        <v>0</v>
      </c>
      <c r="O197" s="144">
        <f>ROUND(E197*N197,2)</f>
        <v>0</v>
      </c>
      <c r="P197" s="144">
        <v>0</v>
      </c>
      <c r="Q197" s="144">
        <f>ROUND(E197*P197,2)</f>
        <v>0</v>
      </c>
      <c r="R197" s="148"/>
      <c r="S197" s="148"/>
      <c r="T197" s="149"/>
      <c r="U197" s="148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</row>
    <row r="198" spans="1:60" ht="12.75" customHeight="1" outlineLevel="1" x14ac:dyDescent="0.2">
      <c r="A198" s="167"/>
      <c r="B198" s="226"/>
      <c r="C198" s="170" t="s">
        <v>240</v>
      </c>
      <c r="D198" s="171"/>
      <c r="E198" s="169">
        <v>63</v>
      </c>
      <c r="F198" s="244"/>
      <c r="G198" s="153"/>
      <c r="H198" s="245"/>
      <c r="I198" s="153"/>
      <c r="J198" s="245"/>
      <c r="K198" s="153"/>
      <c r="L198" s="153"/>
      <c r="M198" s="153"/>
      <c r="N198" s="238"/>
      <c r="O198" s="238"/>
      <c r="P198" s="238"/>
      <c r="Q198" s="238"/>
      <c r="R198" s="148"/>
      <c r="S198" s="148"/>
      <c r="T198" s="149"/>
      <c r="U198" s="148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/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outlineLevel="1" x14ac:dyDescent="0.2">
      <c r="A199" s="137">
        <v>57</v>
      </c>
      <c r="B199" s="172"/>
      <c r="C199" s="224" t="s">
        <v>241</v>
      </c>
      <c r="D199" s="182" t="s">
        <v>91</v>
      </c>
      <c r="E199" s="183">
        <f>E200</f>
        <v>30</v>
      </c>
      <c r="F199" s="147"/>
      <c r="G199" s="148">
        <f>ROUND(E199*F199,2)</f>
        <v>0</v>
      </c>
      <c r="H199" s="147"/>
      <c r="I199" s="148">
        <f>ROUND(E199*H199,2)</f>
        <v>0</v>
      </c>
      <c r="J199" s="147"/>
      <c r="K199" s="148">
        <f>ROUND(E199*J199,2)</f>
        <v>0</v>
      </c>
      <c r="L199" s="148">
        <v>21</v>
      </c>
      <c r="M199" s="148">
        <f>G199*(1+L199/100)</f>
        <v>0</v>
      </c>
      <c r="N199" s="144">
        <v>0</v>
      </c>
      <c r="O199" s="144">
        <f>ROUND(E199*N199,2)</f>
        <v>0</v>
      </c>
      <c r="P199" s="144">
        <v>0</v>
      </c>
      <c r="Q199" s="144">
        <f>ROUND(E199*P199,2)</f>
        <v>0</v>
      </c>
      <c r="R199" s="148"/>
      <c r="S199" s="148"/>
      <c r="T199" s="149"/>
      <c r="U199" s="148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</row>
    <row r="200" spans="1:60" outlineLevel="1" x14ac:dyDescent="0.2">
      <c r="A200" s="167"/>
      <c r="B200" s="226"/>
      <c r="C200" s="202">
        <v>30</v>
      </c>
      <c r="D200" s="171"/>
      <c r="E200" s="169">
        <v>30</v>
      </c>
      <c r="F200" s="244"/>
      <c r="G200" s="153"/>
      <c r="H200" s="245"/>
      <c r="I200" s="153"/>
      <c r="J200" s="245"/>
      <c r="K200" s="153"/>
      <c r="L200" s="153"/>
      <c r="M200" s="153"/>
      <c r="N200" s="238"/>
      <c r="O200" s="238"/>
      <c r="P200" s="238"/>
      <c r="Q200" s="238"/>
      <c r="R200" s="148"/>
      <c r="S200" s="148"/>
      <c r="T200" s="149"/>
      <c r="U200" s="148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</row>
    <row r="201" spans="1:60" outlineLevel="1" x14ac:dyDescent="0.2">
      <c r="A201" s="137">
        <v>58</v>
      </c>
      <c r="B201" s="172"/>
      <c r="C201" s="224" t="s">
        <v>242</v>
      </c>
      <c r="D201" s="182" t="s">
        <v>91</v>
      </c>
      <c r="E201" s="183">
        <f>E202</f>
        <v>1</v>
      </c>
      <c r="F201" s="147"/>
      <c r="G201" s="148">
        <f>ROUND(E201*F201,2)</f>
        <v>0</v>
      </c>
      <c r="H201" s="147"/>
      <c r="I201" s="148">
        <f>ROUND(E201*H201,2)</f>
        <v>0</v>
      </c>
      <c r="J201" s="147"/>
      <c r="K201" s="148">
        <f>ROUND(E201*J201,2)</f>
        <v>0</v>
      </c>
      <c r="L201" s="148">
        <v>21</v>
      </c>
      <c r="M201" s="148">
        <f>G201*(1+L201/100)</f>
        <v>0</v>
      </c>
      <c r="N201" s="144">
        <v>0</v>
      </c>
      <c r="O201" s="144">
        <f>ROUND(E201*N201,2)</f>
        <v>0</v>
      </c>
      <c r="P201" s="144">
        <v>0</v>
      </c>
      <c r="Q201" s="144">
        <f>ROUND(E201*P201,2)</f>
        <v>0</v>
      </c>
      <c r="R201" s="148"/>
      <c r="S201" s="148"/>
      <c r="T201" s="149"/>
      <c r="U201" s="148"/>
      <c r="V201" s="136"/>
      <c r="W201" s="136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36"/>
      <c r="BB201" s="136"/>
      <c r="BC201" s="136"/>
      <c r="BD201" s="136"/>
      <c r="BE201" s="136"/>
      <c r="BF201" s="136"/>
      <c r="BG201" s="136"/>
      <c r="BH201" s="136"/>
    </row>
    <row r="202" spans="1:60" outlineLevel="1" x14ac:dyDescent="0.2">
      <c r="A202" s="167"/>
      <c r="B202" s="226"/>
      <c r="C202" s="202">
        <v>1</v>
      </c>
      <c r="D202" s="171"/>
      <c r="E202" s="169">
        <v>1</v>
      </c>
      <c r="F202" s="244"/>
      <c r="G202" s="153"/>
      <c r="H202" s="245"/>
      <c r="I202" s="153"/>
      <c r="J202" s="245"/>
      <c r="K202" s="153"/>
      <c r="L202" s="153"/>
      <c r="M202" s="153"/>
      <c r="N202" s="238"/>
      <c r="O202" s="238"/>
      <c r="P202" s="238"/>
      <c r="Q202" s="238"/>
      <c r="R202" s="148"/>
      <c r="S202" s="148"/>
      <c r="T202" s="149"/>
      <c r="U202" s="148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 ht="22.5" outlineLevel="1" x14ac:dyDescent="0.2">
      <c r="A203" s="137">
        <v>59</v>
      </c>
      <c r="B203" s="172"/>
      <c r="C203" s="224" t="s">
        <v>256</v>
      </c>
      <c r="D203" s="182" t="s">
        <v>91</v>
      </c>
      <c r="E203" s="183">
        <f>E204</f>
        <v>1</v>
      </c>
      <c r="F203" s="147"/>
      <c r="G203" s="148">
        <f>ROUND(E203*F203,2)</f>
        <v>0</v>
      </c>
      <c r="H203" s="147"/>
      <c r="I203" s="148">
        <f>ROUND(E203*H203,2)</f>
        <v>0</v>
      </c>
      <c r="J203" s="147"/>
      <c r="K203" s="148">
        <f>ROUND(E203*J203,2)</f>
        <v>0</v>
      </c>
      <c r="L203" s="148">
        <v>21</v>
      </c>
      <c r="M203" s="148">
        <f>G203*(1+L203/100)</f>
        <v>0</v>
      </c>
      <c r="N203" s="144">
        <v>0</v>
      </c>
      <c r="O203" s="144">
        <f>ROUND(E203*N203,2)</f>
        <v>0</v>
      </c>
      <c r="P203" s="144">
        <v>0</v>
      </c>
      <c r="Q203" s="144">
        <f>ROUND(E203*P203,2)</f>
        <v>0</v>
      </c>
      <c r="R203" s="148"/>
      <c r="S203" s="148"/>
      <c r="T203" s="149"/>
      <c r="U203" s="148"/>
      <c r="V203" s="136"/>
      <c r="W203" s="136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36"/>
      <c r="BB203" s="136"/>
      <c r="BC203" s="136"/>
      <c r="BD203" s="136"/>
      <c r="BE203" s="136"/>
      <c r="BF203" s="136"/>
      <c r="BG203" s="136"/>
      <c r="BH203" s="136"/>
    </row>
    <row r="204" spans="1:60" outlineLevel="1" x14ac:dyDescent="0.2">
      <c r="A204" s="167"/>
      <c r="B204" s="223"/>
      <c r="C204" s="202">
        <v>1</v>
      </c>
      <c r="D204" s="171"/>
      <c r="E204" s="169">
        <v>1</v>
      </c>
      <c r="F204" s="244"/>
      <c r="G204" s="153"/>
      <c r="H204" s="245"/>
      <c r="I204" s="153"/>
      <c r="J204" s="245"/>
      <c r="K204" s="153"/>
      <c r="L204" s="153"/>
      <c r="M204" s="153"/>
      <c r="N204" s="238"/>
      <c r="O204" s="238"/>
      <c r="P204" s="238"/>
      <c r="Q204" s="238"/>
      <c r="R204" s="148"/>
      <c r="S204" s="148"/>
      <c r="T204" s="149"/>
      <c r="U204" s="148"/>
      <c r="V204" s="136"/>
      <c r="W204" s="136"/>
      <c r="X204" s="136"/>
      <c r="Y204" s="136"/>
      <c r="Z204" s="136"/>
      <c r="AA204" s="136"/>
      <c r="AB204" s="136"/>
      <c r="AC204" s="136"/>
      <c r="AD204" s="136"/>
      <c r="AE204" s="136"/>
      <c r="AF204" s="136"/>
      <c r="AG204" s="136"/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  <c r="BG204" s="136"/>
      <c r="BH204" s="136"/>
    </row>
    <row r="205" spans="1:60" outlineLevel="1" x14ac:dyDescent="0.2">
      <c r="A205" s="137">
        <v>60</v>
      </c>
      <c r="B205" s="172"/>
      <c r="C205" s="230" t="s">
        <v>255</v>
      </c>
      <c r="D205" s="182" t="s">
        <v>91</v>
      </c>
      <c r="E205" s="145">
        <f>E206</f>
        <v>1</v>
      </c>
      <c r="F205" s="147"/>
      <c r="G205" s="148">
        <f>ROUND(E205*F205,2)</f>
        <v>0</v>
      </c>
      <c r="H205" s="147"/>
      <c r="I205" s="148">
        <f>ROUND(E205*H205,2)</f>
        <v>0</v>
      </c>
      <c r="J205" s="147"/>
      <c r="K205" s="148">
        <f>ROUND(E205*J205,2)</f>
        <v>0</v>
      </c>
      <c r="L205" s="148">
        <v>21</v>
      </c>
      <c r="M205" s="148">
        <f>G205*(1+L205/100)</f>
        <v>0</v>
      </c>
      <c r="N205" s="144">
        <v>0</v>
      </c>
      <c r="O205" s="144">
        <f>ROUND(E205*N205,2)</f>
        <v>0</v>
      </c>
      <c r="P205" s="144">
        <v>0</v>
      </c>
      <c r="Q205" s="144">
        <f>ROUND(E205*P205,2)</f>
        <v>0</v>
      </c>
      <c r="R205" s="148"/>
      <c r="S205" s="148"/>
      <c r="T205" s="149"/>
      <c r="U205" s="148"/>
      <c r="V205" s="136"/>
      <c r="W205" s="136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36"/>
      <c r="BB205" s="136"/>
      <c r="BC205" s="136"/>
      <c r="BD205" s="136"/>
      <c r="BE205" s="136"/>
      <c r="BF205" s="136"/>
      <c r="BG205" s="136"/>
      <c r="BH205" s="136"/>
    </row>
    <row r="206" spans="1:60" outlineLevel="1" x14ac:dyDescent="0.2">
      <c r="A206" s="137"/>
      <c r="B206" s="172"/>
      <c r="C206" s="202">
        <v>1</v>
      </c>
      <c r="D206" s="171"/>
      <c r="E206" s="169">
        <v>1</v>
      </c>
      <c r="F206" s="184"/>
      <c r="G206" s="148"/>
      <c r="H206" s="147"/>
      <c r="I206" s="148"/>
      <c r="J206" s="147"/>
      <c r="K206" s="148"/>
      <c r="L206" s="148"/>
      <c r="M206" s="148"/>
      <c r="N206" s="144"/>
      <c r="O206" s="144"/>
      <c r="P206" s="144"/>
      <c r="Q206" s="144"/>
      <c r="R206" s="148"/>
      <c r="S206" s="148"/>
      <c r="T206" s="149"/>
      <c r="U206" s="148"/>
      <c r="V206" s="136"/>
      <c r="W206" s="136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/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  <c r="AR206" s="136"/>
      <c r="AS206" s="136"/>
      <c r="AT206" s="136"/>
      <c r="AU206" s="136"/>
      <c r="AV206" s="136"/>
      <c r="AW206" s="136"/>
      <c r="AX206" s="136"/>
      <c r="AY206" s="136"/>
      <c r="AZ206" s="136"/>
      <c r="BA206" s="136"/>
      <c r="BB206" s="136"/>
      <c r="BC206" s="136"/>
      <c r="BD206" s="136"/>
      <c r="BE206" s="136"/>
      <c r="BF206" s="136"/>
      <c r="BG206" s="136"/>
      <c r="BH206" s="136"/>
    </row>
    <row r="207" spans="1:60" outlineLevel="1" x14ac:dyDescent="0.2">
      <c r="A207" s="264">
        <v>61</v>
      </c>
      <c r="B207" s="206"/>
      <c r="C207" s="269" t="s">
        <v>243</v>
      </c>
      <c r="D207" s="271" t="s">
        <v>91</v>
      </c>
      <c r="E207" s="270">
        <f>E208</f>
        <v>1</v>
      </c>
      <c r="F207" s="248"/>
      <c r="G207" s="249">
        <f>ROUND(E207*F207,2)</f>
        <v>0</v>
      </c>
      <c r="H207" s="248"/>
      <c r="I207" s="249">
        <f>ROUND(E207*H207,2)</f>
        <v>0</v>
      </c>
      <c r="J207" s="248"/>
      <c r="K207" s="249">
        <f>ROUND(E207*J207,2)</f>
        <v>0</v>
      </c>
      <c r="L207" s="249">
        <v>21</v>
      </c>
      <c r="M207" s="249">
        <f>G207*(1+L207/100)</f>
        <v>0</v>
      </c>
      <c r="N207" s="211">
        <v>0</v>
      </c>
      <c r="O207" s="211">
        <f>ROUND(E207*N207,2)</f>
        <v>0</v>
      </c>
      <c r="P207" s="211">
        <v>0</v>
      </c>
      <c r="Q207" s="211">
        <f>ROUND(E207*P207,2)</f>
        <v>0</v>
      </c>
      <c r="R207" s="148"/>
      <c r="S207" s="148"/>
      <c r="T207" s="149"/>
      <c r="U207" s="148"/>
      <c r="V207" s="136"/>
      <c r="W207" s="136"/>
      <c r="X207" s="136"/>
      <c r="Y207" s="136"/>
      <c r="Z207" s="136"/>
      <c r="AA207" s="136"/>
      <c r="AB207" s="136"/>
      <c r="AC207" s="136"/>
      <c r="AD207" s="136"/>
      <c r="AE207" s="136"/>
      <c r="AF207" s="136"/>
      <c r="AG207" s="136"/>
      <c r="AH207" s="136"/>
      <c r="AI207" s="136"/>
      <c r="AJ207" s="136"/>
      <c r="AK207" s="136"/>
      <c r="AL207" s="136"/>
      <c r="AM207" s="136"/>
      <c r="AN207" s="136"/>
      <c r="AO207" s="136"/>
      <c r="AP207" s="136"/>
      <c r="AQ207" s="136"/>
      <c r="AR207" s="136"/>
      <c r="AS207" s="136"/>
      <c r="AT207" s="136"/>
      <c r="AU207" s="136"/>
      <c r="AV207" s="136"/>
      <c r="AW207" s="136"/>
      <c r="AX207" s="136"/>
      <c r="AY207" s="136"/>
      <c r="AZ207" s="136"/>
      <c r="BA207" s="136"/>
      <c r="BB207" s="136"/>
      <c r="BC207" s="136"/>
      <c r="BD207" s="136"/>
      <c r="BE207" s="136"/>
      <c r="BF207" s="136"/>
      <c r="BG207" s="136"/>
      <c r="BH207" s="136"/>
    </row>
    <row r="208" spans="1:60" outlineLevel="1" x14ac:dyDescent="0.2">
      <c r="A208" s="167"/>
      <c r="B208" s="226"/>
      <c r="C208" s="202">
        <v>1</v>
      </c>
      <c r="D208" s="171"/>
      <c r="E208" s="169">
        <v>1</v>
      </c>
      <c r="F208" s="244"/>
      <c r="G208" s="153"/>
      <c r="H208" s="245"/>
      <c r="I208" s="153"/>
      <c r="J208" s="245"/>
      <c r="K208" s="153"/>
      <c r="L208" s="153"/>
      <c r="M208" s="153"/>
      <c r="N208" s="238"/>
      <c r="O208" s="238"/>
      <c r="P208" s="238"/>
      <c r="Q208" s="238"/>
      <c r="R208" s="148"/>
      <c r="S208" s="148"/>
      <c r="T208" s="149"/>
      <c r="U208" s="148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  <c r="BG208" s="136"/>
      <c r="BH208" s="136"/>
    </row>
    <row r="209" spans="1:60" outlineLevel="1" x14ac:dyDescent="0.2">
      <c r="A209" s="264">
        <v>62</v>
      </c>
      <c r="B209" s="206"/>
      <c r="C209" s="269" t="s">
        <v>244</v>
      </c>
      <c r="D209" s="271" t="s">
        <v>91</v>
      </c>
      <c r="E209" s="270">
        <f>E210</f>
        <v>1</v>
      </c>
      <c r="F209" s="248"/>
      <c r="G209" s="249">
        <f>ROUND(E209*F209,2)</f>
        <v>0</v>
      </c>
      <c r="H209" s="248"/>
      <c r="I209" s="249">
        <f>ROUND(E209*H209,2)</f>
        <v>0</v>
      </c>
      <c r="J209" s="248"/>
      <c r="K209" s="249">
        <f>ROUND(E209*J209,2)</f>
        <v>0</v>
      </c>
      <c r="L209" s="249">
        <v>21</v>
      </c>
      <c r="M209" s="249">
        <f>G209*(1+L209/100)</f>
        <v>0</v>
      </c>
      <c r="N209" s="211">
        <v>0</v>
      </c>
      <c r="O209" s="211">
        <f>ROUND(E209*N209,2)</f>
        <v>0</v>
      </c>
      <c r="P209" s="211">
        <v>0</v>
      </c>
      <c r="Q209" s="211">
        <f>ROUND(E209*P209,2)</f>
        <v>0</v>
      </c>
      <c r="R209" s="148"/>
      <c r="S209" s="148"/>
      <c r="T209" s="149"/>
      <c r="U209" s="148"/>
      <c r="V209" s="136"/>
      <c r="W209" s="136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  <c r="BG209" s="136"/>
      <c r="BH209" s="136"/>
    </row>
    <row r="210" spans="1:60" outlineLevel="1" x14ac:dyDescent="0.2">
      <c r="A210" s="167"/>
      <c r="B210" s="226"/>
      <c r="C210" s="202">
        <v>1</v>
      </c>
      <c r="D210" s="171"/>
      <c r="E210" s="169">
        <v>1</v>
      </c>
      <c r="F210" s="244"/>
      <c r="G210" s="153"/>
      <c r="H210" s="245"/>
      <c r="I210" s="153"/>
      <c r="J210" s="245"/>
      <c r="K210" s="153"/>
      <c r="L210" s="153"/>
      <c r="M210" s="153"/>
      <c r="N210" s="238"/>
      <c r="O210" s="238"/>
      <c r="P210" s="238"/>
      <c r="Q210" s="238"/>
      <c r="R210" s="148"/>
      <c r="S210" s="148"/>
      <c r="T210" s="149"/>
      <c r="U210" s="148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  <c r="BE210" s="136"/>
      <c r="BF210" s="136"/>
      <c r="BG210" s="136"/>
      <c r="BH210" s="136"/>
    </row>
    <row r="211" spans="1:60" ht="22.5" outlineLevel="1" x14ac:dyDescent="0.2">
      <c r="A211" s="137">
        <v>63</v>
      </c>
      <c r="B211" s="172"/>
      <c r="C211" s="224" t="s">
        <v>246</v>
      </c>
      <c r="D211" s="182" t="s">
        <v>88</v>
      </c>
      <c r="E211" s="183">
        <f>E212</f>
        <v>63</v>
      </c>
      <c r="F211" s="248"/>
      <c r="G211" s="249">
        <f>ROUND(E211*F211,2)</f>
        <v>0</v>
      </c>
      <c r="H211" s="248"/>
      <c r="I211" s="249">
        <f>ROUND(E211*H211,2)</f>
        <v>0</v>
      </c>
      <c r="J211" s="248"/>
      <c r="K211" s="249">
        <f>ROUND(E211*J211,2)</f>
        <v>0</v>
      </c>
      <c r="L211" s="249">
        <v>21</v>
      </c>
      <c r="M211" s="249">
        <f>G211*(1+L211/100)</f>
        <v>0</v>
      </c>
      <c r="N211" s="211">
        <v>0</v>
      </c>
      <c r="O211" s="211">
        <f>ROUND(E211*N211,2)</f>
        <v>0</v>
      </c>
      <c r="P211" s="211">
        <v>0</v>
      </c>
      <c r="Q211" s="211">
        <f>ROUND(E211*P211,2)</f>
        <v>0</v>
      </c>
      <c r="R211" s="148"/>
      <c r="S211" s="148"/>
      <c r="T211" s="149"/>
      <c r="U211" s="148"/>
      <c r="V211" s="136"/>
      <c r="W211" s="136"/>
      <c r="X211" s="136"/>
      <c r="Y211" s="136"/>
      <c r="Z211" s="136"/>
      <c r="AA211" s="136"/>
      <c r="AB211" s="136"/>
      <c r="AC211" s="136"/>
      <c r="AD211" s="136"/>
      <c r="AE211" s="136"/>
      <c r="AF211" s="136"/>
      <c r="AG211" s="136"/>
      <c r="AH211" s="136"/>
      <c r="AI211" s="136"/>
      <c r="AJ211" s="136"/>
      <c r="AK211" s="136"/>
      <c r="AL211" s="136"/>
      <c r="AM211" s="136"/>
      <c r="AN211" s="136"/>
      <c r="AO211" s="136"/>
      <c r="AP211" s="136"/>
      <c r="AQ211" s="136"/>
      <c r="AR211" s="136"/>
      <c r="AS211" s="136"/>
      <c r="AT211" s="136"/>
      <c r="AU211" s="136"/>
      <c r="AV211" s="136"/>
      <c r="AW211" s="136"/>
      <c r="AX211" s="136"/>
      <c r="AY211" s="136"/>
      <c r="AZ211" s="136"/>
      <c r="BA211" s="136"/>
      <c r="BB211" s="136"/>
      <c r="BC211" s="136"/>
      <c r="BD211" s="136"/>
      <c r="BE211" s="136"/>
      <c r="BF211" s="136"/>
      <c r="BG211" s="136"/>
      <c r="BH211" s="136"/>
    </row>
    <row r="212" spans="1:60" outlineLevel="1" x14ac:dyDescent="0.2">
      <c r="A212" s="167"/>
      <c r="B212" s="223"/>
      <c r="C212" s="202">
        <v>63</v>
      </c>
      <c r="D212" s="171"/>
      <c r="E212" s="169">
        <v>63</v>
      </c>
      <c r="F212" s="244"/>
      <c r="G212" s="153"/>
      <c r="H212" s="245"/>
      <c r="I212" s="153"/>
      <c r="J212" s="245"/>
      <c r="K212" s="153"/>
      <c r="L212" s="153"/>
      <c r="M212" s="153"/>
      <c r="N212" s="238"/>
      <c r="O212" s="238"/>
      <c r="P212" s="238"/>
      <c r="Q212" s="238"/>
      <c r="R212" s="148"/>
      <c r="S212" s="148"/>
      <c r="T212" s="149"/>
      <c r="U212" s="148"/>
      <c r="V212" s="136"/>
      <c r="W212" s="136"/>
      <c r="X212" s="136"/>
      <c r="Y212" s="136"/>
      <c r="Z212" s="136"/>
      <c r="AA212" s="136"/>
      <c r="AB212" s="136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  <c r="BG212" s="136"/>
      <c r="BH212" s="136"/>
    </row>
    <row r="213" spans="1:60" ht="22.5" outlineLevel="1" x14ac:dyDescent="0.2">
      <c r="A213" s="137">
        <v>64</v>
      </c>
      <c r="B213" s="172"/>
      <c r="C213" s="224" t="s">
        <v>247</v>
      </c>
      <c r="D213" s="182" t="s">
        <v>91</v>
      </c>
      <c r="E213" s="183">
        <f>E214</f>
        <v>0</v>
      </c>
      <c r="F213" s="248"/>
      <c r="G213" s="249">
        <f>ROUND(E213*F213,2)</f>
        <v>0</v>
      </c>
      <c r="H213" s="248"/>
      <c r="I213" s="249">
        <f>ROUND(E213*H213,2)</f>
        <v>0</v>
      </c>
      <c r="J213" s="248"/>
      <c r="K213" s="249">
        <f>ROUND(E213*J213,2)</f>
        <v>0</v>
      </c>
      <c r="L213" s="249">
        <v>21</v>
      </c>
      <c r="M213" s="249">
        <f>G213*(1+L213/100)</f>
        <v>0</v>
      </c>
      <c r="N213" s="211">
        <v>0</v>
      </c>
      <c r="O213" s="211">
        <f>ROUND(E213*N213,2)</f>
        <v>0</v>
      </c>
      <c r="P213" s="211">
        <v>0</v>
      </c>
      <c r="Q213" s="211">
        <f>ROUND(E213*P213,2)</f>
        <v>0</v>
      </c>
      <c r="R213" s="148"/>
      <c r="S213" s="148"/>
      <c r="T213" s="149"/>
      <c r="U213" s="148"/>
      <c r="V213" s="136"/>
      <c r="W213" s="136"/>
      <c r="X213" s="136"/>
      <c r="Y213" s="136"/>
      <c r="Z213" s="136"/>
      <c r="AA213" s="136"/>
      <c r="AB213" s="136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  <c r="BE213" s="136"/>
      <c r="BF213" s="136"/>
      <c r="BG213" s="136"/>
      <c r="BH213" s="136"/>
    </row>
    <row r="214" spans="1:60" outlineLevel="1" x14ac:dyDescent="0.2">
      <c r="A214" s="167"/>
      <c r="B214" s="226"/>
      <c r="C214" s="236" t="s">
        <v>261</v>
      </c>
      <c r="D214" s="171"/>
      <c r="E214" s="169">
        <v>0</v>
      </c>
      <c r="F214" s="244"/>
      <c r="G214" s="153"/>
      <c r="H214" s="245"/>
      <c r="I214" s="153"/>
      <c r="J214" s="245"/>
      <c r="K214" s="153"/>
      <c r="L214" s="153"/>
      <c r="M214" s="153"/>
      <c r="N214" s="238"/>
      <c r="O214" s="238"/>
      <c r="P214" s="238"/>
      <c r="Q214" s="238"/>
      <c r="R214" s="148"/>
      <c r="S214" s="148"/>
      <c r="T214" s="149"/>
      <c r="U214" s="148"/>
      <c r="V214" s="136"/>
      <c r="W214" s="136"/>
      <c r="X214" s="136"/>
      <c r="Y214" s="136"/>
      <c r="Z214" s="136"/>
      <c r="AA214" s="136"/>
      <c r="AB214" s="136"/>
      <c r="AC214" s="136"/>
      <c r="AD214" s="136"/>
      <c r="AE214" s="136"/>
      <c r="AF214" s="136"/>
      <c r="AG214" s="136"/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  <c r="AR214" s="136"/>
      <c r="AS214" s="136"/>
      <c r="AT214" s="136"/>
      <c r="AU214" s="136"/>
      <c r="AV214" s="136"/>
      <c r="AW214" s="136"/>
      <c r="AX214" s="136"/>
      <c r="AY214" s="136"/>
      <c r="AZ214" s="136"/>
      <c r="BA214" s="136"/>
      <c r="BB214" s="136"/>
      <c r="BC214" s="136"/>
      <c r="BD214" s="136"/>
      <c r="BE214" s="136"/>
      <c r="BF214" s="136"/>
      <c r="BG214" s="136"/>
      <c r="BH214" s="136"/>
    </row>
    <row r="215" spans="1:60" outlineLevel="1" x14ac:dyDescent="0.2">
      <c r="A215" s="137">
        <v>65</v>
      </c>
      <c r="B215" s="172"/>
      <c r="C215" s="224" t="s">
        <v>248</v>
      </c>
      <c r="D215" s="182" t="s">
        <v>91</v>
      </c>
      <c r="E215" s="183">
        <f>E217</f>
        <v>18</v>
      </c>
      <c r="F215" s="248"/>
      <c r="G215" s="249">
        <f>ROUND(E215*F215,2)</f>
        <v>0</v>
      </c>
      <c r="H215" s="248"/>
      <c r="I215" s="249">
        <f>ROUND(E215*H215,2)</f>
        <v>0</v>
      </c>
      <c r="J215" s="248"/>
      <c r="K215" s="249">
        <f>ROUND(E215*J215,2)</f>
        <v>0</v>
      </c>
      <c r="L215" s="249">
        <v>21</v>
      </c>
      <c r="M215" s="249">
        <f>G215*(1+L215/100)</f>
        <v>0</v>
      </c>
      <c r="N215" s="211">
        <v>0</v>
      </c>
      <c r="O215" s="211">
        <f>ROUND(E215*N215,2)</f>
        <v>0</v>
      </c>
      <c r="P215" s="211">
        <v>0</v>
      </c>
      <c r="Q215" s="211">
        <f>ROUND(E215*P215,2)</f>
        <v>0</v>
      </c>
      <c r="R215" s="148"/>
      <c r="S215" s="148"/>
      <c r="T215" s="149"/>
      <c r="U215" s="148"/>
      <c r="V215" s="136"/>
      <c r="W215" s="136"/>
      <c r="X215" s="136"/>
      <c r="Y215" s="136"/>
      <c r="Z215" s="136"/>
      <c r="AA215" s="136"/>
      <c r="AB215" s="136"/>
      <c r="AC215" s="136"/>
      <c r="AD215" s="136"/>
      <c r="AE215" s="136"/>
      <c r="AF215" s="136"/>
      <c r="AG215" s="136"/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  <c r="AR215" s="136"/>
      <c r="AS215" s="136"/>
      <c r="AT215" s="136"/>
      <c r="AU215" s="136"/>
      <c r="AV215" s="136"/>
      <c r="AW215" s="136"/>
      <c r="AX215" s="136"/>
      <c r="AY215" s="136"/>
      <c r="AZ215" s="136"/>
      <c r="BA215" s="136"/>
      <c r="BB215" s="136"/>
      <c r="BC215" s="136"/>
      <c r="BD215" s="136"/>
      <c r="BE215" s="136"/>
      <c r="BF215" s="136"/>
      <c r="BG215" s="136"/>
      <c r="BH215" s="136"/>
    </row>
    <row r="216" spans="1:60" outlineLevel="1" x14ac:dyDescent="0.2">
      <c r="A216" s="137"/>
      <c r="B216" s="172"/>
      <c r="C216" s="166" t="s">
        <v>249</v>
      </c>
      <c r="D216" s="142"/>
      <c r="E216" s="183"/>
      <c r="F216" s="184"/>
      <c r="G216" s="148"/>
      <c r="H216" s="147"/>
      <c r="I216" s="148"/>
      <c r="J216" s="147"/>
      <c r="K216" s="148"/>
      <c r="L216" s="148"/>
      <c r="M216" s="148"/>
      <c r="N216" s="144"/>
      <c r="O216" s="144"/>
      <c r="P216" s="144"/>
      <c r="Q216" s="144"/>
      <c r="R216" s="148"/>
      <c r="S216" s="148"/>
      <c r="T216" s="149"/>
      <c r="U216" s="148"/>
      <c r="V216" s="136"/>
      <c r="W216" s="136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  <c r="BE216" s="136"/>
      <c r="BF216" s="136"/>
      <c r="BG216" s="136"/>
      <c r="BH216" s="136"/>
    </row>
    <row r="217" spans="1:60" outlineLevel="1" x14ac:dyDescent="0.2">
      <c r="A217" s="167"/>
      <c r="B217" s="223"/>
      <c r="C217" s="202">
        <v>18</v>
      </c>
      <c r="D217" s="171"/>
      <c r="E217" s="169">
        <v>18</v>
      </c>
      <c r="F217" s="244"/>
      <c r="G217" s="153"/>
      <c r="H217" s="245"/>
      <c r="I217" s="153"/>
      <c r="J217" s="245"/>
      <c r="K217" s="153"/>
      <c r="L217" s="153"/>
      <c r="M217" s="153"/>
      <c r="N217" s="238"/>
      <c r="O217" s="238"/>
      <c r="P217" s="238"/>
      <c r="Q217" s="238"/>
      <c r="R217" s="148"/>
      <c r="S217" s="148"/>
      <c r="T217" s="149"/>
      <c r="U217" s="148"/>
      <c r="V217" s="136"/>
      <c r="W217" s="136"/>
      <c r="X217" s="136"/>
      <c r="Y217" s="136"/>
      <c r="Z217" s="136"/>
      <c r="AA217" s="136"/>
      <c r="AB217" s="136"/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36"/>
      <c r="BB217" s="136"/>
      <c r="BC217" s="136"/>
      <c r="BD217" s="136"/>
      <c r="BE217" s="136"/>
      <c r="BF217" s="136"/>
      <c r="BG217" s="136"/>
      <c r="BH217" s="136"/>
    </row>
    <row r="218" spans="1:60" outlineLevel="1" x14ac:dyDescent="0.2">
      <c r="A218" s="137">
        <v>66</v>
      </c>
      <c r="B218" s="172"/>
      <c r="C218" s="224" t="s">
        <v>250</v>
      </c>
      <c r="D218" s="182" t="s">
        <v>91</v>
      </c>
      <c r="E218" s="183">
        <f>E219</f>
        <v>2</v>
      </c>
      <c r="F218" s="248"/>
      <c r="G218" s="249">
        <f>ROUND(E218*F218,2)</f>
        <v>0</v>
      </c>
      <c r="H218" s="248"/>
      <c r="I218" s="249">
        <f>ROUND(E218*H218,2)</f>
        <v>0</v>
      </c>
      <c r="J218" s="248"/>
      <c r="K218" s="249">
        <f>ROUND(E218*J218,2)</f>
        <v>0</v>
      </c>
      <c r="L218" s="249">
        <v>21</v>
      </c>
      <c r="M218" s="249">
        <f>G218*(1+L218/100)</f>
        <v>0</v>
      </c>
      <c r="N218" s="211">
        <v>0</v>
      </c>
      <c r="O218" s="211">
        <f>ROUND(E218*N218,2)</f>
        <v>0</v>
      </c>
      <c r="P218" s="211">
        <v>0</v>
      </c>
      <c r="Q218" s="211">
        <f>ROUND(E218*P218,2)</f>
        <v>0</v>
      </c>
      <c r="R218" s="148"/>
      <c r="S218" s="148"/>
      <c r="T218" s="149"/>
      <c r="U218" s="148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  <c r="BE218" s="136"/>
      <c r="BF218" s="136"/>
      <c r="BG218" s="136"/>
      <c r="BH218" s="136"/>
    </row>
    <row r="219" spans="1:60" outlineLevel="1" x14ac:dyDescent="0.2">
      <c r="A219" s="167"/>
      <c r="B219" s="223"/>
      <c r="C219" s="202">
        <v>2</v>
      </c>
      <c r="D219" s="171"/>
      <c r="E219" s="169">
        <v>2</v>
      </c>
      <c r="F219" s="244"/>
      <c r="G219" s="153"/>
      <c r="H219" s="245"/>
      <c r="I219" s="153"/>
      <c r="J219" s="245"/>
      <c r="K219" s="153"/>
      <c r="L219" s="153"/>
      <c r="M219" s="153"/>
      <c r="N219" s="238"/>
      <c r="O219" s="238"/>
      <c r="P219" s="238"/>
      <c r="Q219" s="238"/>
      <c r="R219" s="148"/>
      <c r="S219" s="148"/>
      <c r="T219" s="149"/>
      <c r="U219" s="148"/>
      <c r="V219" s="136"/>
      <c r="W219" s="136"/>
      <c r="X219" s="136"/>
      <c r="Y219" s="136"/>
      <c r="Z219" s="136"/>
      <c r="AA219" s="136"/>
      <c r="AB219" s="136"/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  <c r="BE219" s="136"/>
      <c r="BF219" s="136"/>
      <c r="BG219" s="136"/>
      <c r="BH219" s="136"/>
    </row>
    <row r="220" spans="1:60" outlineLevel="1" x14ac:dyDescent="0.2">
      <c r="A220" s="137">
        <v>67</v>
      </c>
      <c r="B220" s="172"/>
      <c r="C220" s="224" t="s">
        <v>251</v>
      </c>
      <c r="D220" s="182" t="s">
        <v>91</v>
      </c>
      <c r="E220" s="183">
        <f>E221</f>
        <v>2</v>
      </c>
      <c r="F220" s="248"/>
      <c r="G220" s="249">
        <f>ROUND(E220*F220,2)</f>
        <v>0</v>
      </c>
      <c r="H220" s="248"/>
      <c r="I220" s="249">
        <f>ROUND(E220*H220,2)</f>
        <v>0</v>
      </c>
      <c r="J220" s="248"/>
      <c r="K220" s="249">
        <f>ROUND(E220*J220,2)</f>
        <v>0</v>
      </c>
      <c r="L220" s="249">
        <v>21</v>
      </c>
      <c r="M220" s="249">
        <f>G220*(1+L220/100)</f>
        <v>0</v>
      </c>
      <c r="N220" s="211">
        <v>0</v>
      </c>
      <c r="O220" s="211">
        <f>ROUND(E220*N220,2)</f>
        <v>0</v>
      </c>
      <c r="P220" s="211">
        <v>0</v>
      </c>
      <c r="Q220" s="211">
        <f>ROUND(E220*P220,2)</f>
        <v>0</v>
      </c>
      <c r="R220" s="148"/>
      <c r="S220" s="148"/>
      <c r="T220" s="149"/>
      <c r="U220" s="148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36"/>
      <c r="BB220" s="136"/>
      <c r="BC220" s="136"/>
      <c r="BD220" s="136"/>
      <c r="BE220" s="136"/>
      <c r="BF220" s="136"/>
      <c r="BG220" s="136"/>
      <c r="BH220" s="136"/>
    </row>
    <row r="221" spans="1:60" outlineLevel="1" x14ac:dyDescent="0.2">
      <c r="A221" s="167"/>
      <c r="B221" s="223"/>
      <c r="C221" s="202">
        <v>2</v>
      </c>
      <c r="D221" s="171"/>
      <c r="E221" s="169">
        <v>2</v>
      </c>
      <c r="F221" s="244"/>
      <c r="G221" s="153"/>
      <c r="H221" s="245"/>
      <c r="I221" s="153"/>
      <c r="J221" s="245"/>
      <c r="K221" s="153"/>
      <c r="L221" s="153"/>
      <c r="M221" s="153"/>
      <c r="N221" s="238"/>
      <c r="O221" s="238"/>
      <c r="P221" s="238"/>
      <c r="Q221" s="238"/>
      <c r="R221" s="148"/>
      <c r="S221" s="148"/>
      <c r="T221" s="149"/>
      <c r="U221" s="148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  <c r="BE221" s="136"/>
      <c r="BF221" s="136"/>
      <c r="BG221" s="136"/>
      <c r="BH221" s="136"/>
    </row>
    <row r="222" spans="1:60" outlineLevel="1" x14ac:dyDescent="0.2">
      <c r="A222" s="264">
        <v>68</v>
      </c>
      <c r="B222" s="172"/>
      <c r="C222" s="269" t="s">
        <v>252</v>
      </c>
      <c r="D222" s="182" t="s">
        <v>91</v>
      </c>
      <c r="E222" s="183">
        <f>E223</f>
        <v>2</v>
      </c>
      <c r="F222" s="248"/>
      <c r="G222" s="249">
        <f>ROUND(E222*F222,2)</f>
        <v>0</v>
      </c>
      <c r="H222" s="248"/>
      <c r="I222" s="249">
        <f>ROUND(E222*H222,2)</f>
        <v>0</v>
      </c>
      <c r="J222" s="248"/>
      <c r="K222" s="249">
        <f>ROUND(E222*J222,2)</f>
        <v>0</v>
      </c>
      <c r="L222" s="249">
        <v>21</v>
      </c>
      <c r="M222" s="249">
        <f>G222*(1+L222/100)</f>
        <v>0</v>
      </c>
      <c r="N222" s="211">
        <v>0</v>
      </c>
      <c r="O222" s="211">
        <f>ROUND(E222*N222,2)</f>
        <v>0</v>
      </c>
      <c r="P222" s="211">
        <v>0</v>
      </c>
      <c r="Q222" s="211">
        <f>ROUND(E222*P222,2)</f>
        <v>0</v>
      </c>
      <c r="R222" s="148"/>
      <c r="S222" s="148"/>
      <c r="T222" s="149"/>
      <c r="U222" s="148"/>
      <c r="V222" s="136"/>
      <c r="W222" s="136"/>
      <c r="X222" s="136"/>
      <c r="Y222" s="136"/>
      <c r="Z222" s="136"/>
      <c r="AA222" s="136"/>
      <c r="AB222" s="136"/>
      <c r="AC222" s="136"/>
      <c r="AD222" s="136"/>
      <c r="AE222" s="136"/>
      <c r="AF222" s="136"/>
      <c r="AG222" s="136"/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  <c r="AR222" s="136"/>
      <c r="AS222" s="136"/>
      <c r="AT222" s="136"/>
      <c r="AU222" s="136"/>
      <c r="AV222" s="136"/>
      <c r="AW222" s="136"/>
      <c r="AX222" s="136"/>
      <c r="AY222" s="136"/>
      <c r="AZ222" s="136"/>
      <c r="BA222" s="136"/>
      <c r="BB222" s="136"/>
      <c r="BC222" s="136"/>
      <c r="BD222" s="136"/>
      <c r="BE222" s="136"/>
      <c r="BF222" s="136"/>
      <c r="BG222" s="136"/>
      <c r="BH222" s="136"/>
    </row>
    <row r="223" spans="1:60" outlineLevel="1" x14ac:dyDescent="0.2">
      <c r="A223" s="167"/>
      <c r="B223" s="226"/>
      <c r="C223" s="253">
        <v>2</v>
      </c>
      <c r="D223" s="171"/>
      <c r="E223" s="228">
        <v>2</v>
      </c>
      <c r="F223" s="222"/>
      <c r="G223" s="153"/>
      <c r="H223" s="245"/>
      <c r="I223" s="153"/>
      <c r="J223" s="245"/>
      <c r="K223" s="153"/>
      <c r="L223" s="153"/>
      <c r="M223" s="154"/>
      <c r="N223" s="221"/>
      <c r="O223" s="238"/>
      <c r="P223" s="238"/>
      <c r="Q223" s="238"/>
      <c r="R223" s="148"/>
      <c r="S223" s="148"/>
      <c r="T223" s="149"/>
      <c r="U223" s="148"/>
      <c r="V223" s="136"/>
      <c r="W223" s="136"/>
      <c r="X223" s="136"/>
      <c r="Y223" s="136"/>
      <c r="Z223" s="136"/>
      <c r="AA223" s="136"/>
      <c r="AB223" s="136"/>
      <c r="AC223" s="136"/>
      <c r="AD223" s="136"/>
      <c r="AE223" s="136"/>
      <c r="AF223" s="136"/>
      <c r="AG223" s="136"/>
      <c r="AH223" s="136"/>
      <c r="AI223" s="136"/>
      <c r="AJ223" s="136"/>
      <c r="AK223" s="136"/>
      <c r="AL223" s="136"/>
      <c r="AM223" s="136"/>
      <c r="AN223" s="136"/>
      <c r="AO223" s="136"/>
      <c r="AP223" s="136"/>
      <c r="AQ223" s="136"/>
      <c r="AR223" s="136"/>
      <c r="AS223" s="136"/>
      <c r="AT223" s="136"/>
      <c r="AU223" s="136"/>
      <c r="AV223" s="136"/>
      <c r="AW223" s="136"/>
      <c r="AX223" s="136"/>
      <c r="AY223" s="136"/>
      <c r="AZ223" s="136"/>
      <c r="BA223" s="136"/>
      <c r="BB223" s="136"/>
      <c r="BC223" s="136"/>
      <c r="BD223" s="136"/>
      <c r="BE223" s="136"/>
      <c r="BF223" s="136"/>
      <c r="BG223" s="136"/>
      <c r="BH223" s="136"/>
    </row>
    <row r="224" spans="1:60" ht="12.75" customHeight="1" outlineLevel="1" x14ac:dyDescent="0.2">
      <c r="A224" s="137">
        <v>69</v>
      </c>
      <c r="B224" s="172"/>
      <c r="C224" s="230" t="s">
        <v>253</v>
      </c>
      <c r="D224" s="272" t="s">
        <v>254</v>
      </c>
      <c r="E224" s="270">
        <f>E225</f>
        <v>1</v>
      </c>
      <c r="F224" s="248"/>
      <c r="G224" s="249">
        <f>ROUND(E224*F224,2)</f>
        <v>0</v>
      </c>
      <c r="H224" s="248"/>
      <c r="I224" s="249">
        <f>ROUND(E224*H224,2)</f>
        <v>0</v>
      </c>
      <c r="J224" s="248"/>
      <c r="K224" s="249">
        <f>ROUND(E224*J224,2)</f>
        <v>0</v>
      </c>
      <c r="L224" s="249">
        <v>21</v>
      </c>
      <c r="M224" s="249">
        <f>G224*(1+L224/100)</f>
        <v>0</v>
      </c>
      <c r="N224" s="211">
        <v>0</v>
      </c>
      <c r="O224" s="211">
        <f>ROUND(E224*N224,2)</f>
        <v>0</v>
      </c>
      <c r="P224" s="211">
        <v>0</v>
      </c>
      <c r="Q224" s="211">
        <f>ROUND(E224*P224,2)</f>
        <v>0</v>
      </c>
      <c r="R224" s="148"/>
      <c r="S224" s="148"/>
      <c r="T224" s="149"/>
      <c r="U224" s="148"/>
      <c r="V224" s="136"/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  <c r="BE224" s="136"/>
      <c r="BF224" s="136"/>
      <c r="BG224" s="136"/>
      <c r="BH224" s="136"/>
    </row>
    <row r="225" spans="1:60" outlineLevel="1" x14ac:dyDescent="0.2">
      <c r="A225" s="167"/>
      <c r="B225" s="226"/>
      <c r="C225" s="253">
        <v>1</v>
      </c>
      <c r="D225" s="199"/>
      <c r="E225" s="169">
        <v>1</v>
      </c>
      <c r="F225" s="222"/>
      <c r="G225" s="154"/>
      <c r="H225" s="219"/>
      <c r="I225" s="220"/>
      <c r="J225" s="219"/>
      <c r="K225" s="220"/>
      <c r="L225" s="220"/>
      <c r="M225" s="220"/>
      <c r="N225" s="221"/>
      <c r="O225" s="238"/>
      <c r="P225" s="238"/>
      <c r="Q225" s="238"/>
      <c r="R225" s="148"/>
      <c r="S225" s="148"/>
      <c r="T225" s="149"/>
      <c r="U225" s="148"/>
      <c r="V225" s="136"/>
      <c r="W225" s="136"/>
      <c r="X225" s="136"/>
      <c r="Y225" s="136"/>
      <c r="Z225" s="136"/>
      <c r="AA225" s="136"/>
      <c r="AB225" s="136"/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  <c r="BE225" s="136"/>
      <c r="BF225" s="136"/>
      <c r="BG225" s="136"/>
      <c r="BH225" s="136"/>
    </row>
    <row r="226" spans="1:60" x14ac:dyDescent="0.2">
      <c r="A226" s="4"/>
      <c r="B226" s="5" t="s">
        <v>95</v>
      </c>
      <c r="C226" s="163" t="s">
        <v>95</v>
      </c>
      <c r="D226" s="7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AC226">
        <v>15</v>
      </c>
      <c r="AD226">
        <v>21</v>
      </c>
    </row>
    <row r="227" spans="1:60" x14ac:dyDescent="0.2">
      <c r="A227" s="155"/>
      <c r="B227" s="156">
        <v>26</v>
      </c>
      <c r="C227" s="164" t="s">
        <v>95</v>
      </c>
      <c r="D227" s="157"/>
      <c r="E227" s="158"/>
      <c r="F227" s="158"/>
      <c r="G227" s="159">
        <f>G8+G27+G41+G84+G128+G186+G191</f>
        <v>0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AC227">
        <f>SUMIF(L7:L225,AC226,G7:G225)</f>
        <v>0</v>
      </c>
      <c r="AD227">
        <f>SUMIF(L7:L225,AD226,G7:G225)</f>
        <v>0</v>
      </c>
      <c r="AE227" t="s">
        <v>99</v>
      </c>
    </row>
    <row r="228" spans="1:60" x14ac:dyDescent="0.2">
      <c r="A228" s="4"/>
      <c r="B228" s="5" t="s">
        <v>95</v>
      </c>
      <c r="C228" s="163" t="s">
        <v>95</v>
      </c>
      <c r="D228" s="7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</row>
    <row r="229" spans="1:60" x14ac:dyDescent="0.2">
      <c r="A229" s="4"/>
      <c r="B229" s="5" t="s">
        <v>95</v>
      </c>
      <c r="C229" s="163" t="s">
        <v>95</v>
      </c>
      <c r="D229" s="7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</row>
    <row r="230" spans="1:60" x14ac:dyDescent="0.2">
      <c r="C230" s="165"/>
      <c r="D230" s="11"/>
      <c r="AE230" t="s">
        <v>100</v>
      </c>
    </row>
    <row r="231" spans="1:60" x14ac:dyDescent="0.2">
      <c r="D231" s="11"/>
    </row>
    <row r="232" spans="1:60" x14ac:dyDescent="0.2">
      <c r="D232" s="11"/>
    </row>
    <row r="233" spans="1:60" x14ac:dyDescent="0.2">
      <c r="D233" s="11"/>
    </row>
    <row r="234" spans="1:60" x14ac:dyDescent="0.2">
      <c r="D234" s="11"/>
    </row>
    <row r="235" spans="1:60" x14ac:dyDescent="0.2">
      <c r="D235" s="11"/>
    </row>
    <row r="236" spans="1:60" x14ac:dyDescent="0.2">
      <c r="D236" s="11"/>
    </row>
    <row r="237" spans="1:60" x14ac:dyDescent="0.2">
      <c r="D237" s="11"/>
    </row>
    <row r="238" spans="1:60" x14ac:dyDescent="0.2">
      <c r="D238" s="11"/>
    </row>
    <row r="239" spans="1:60" x14ac:dyDescent="0.2">
      <c r="D239" s="11"/>
    </row>
    <row r="240" spans="1:60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  <row r="5015" spans="4:4" x14ac:dyDescent="0.2">
      <c r="D5015" s="11"/>
    </row>
    <row r="5016" spans="4:4" x14ac:dyDescent="0.2">
      <c r="D5016" s="11"/>
    </row>
    <row r="5017" spans="4:4" x14ac:dyDescent="0.2">
      <c r="D5017" s="11"/>
    </row>
    <row r="5018" spans="4:4" x14ac:dyDescent="0.2">
      <c r="D5018" s="11"/>
    </row>
    <row r="5019" spans="4:4" x14ac:dyDescent="0.2">
      <c r="D5019" s="11"/>
    </row>
    <row r="5020" spans="4:4" x14ac:dyDescent="0.2">
      <c r="D5020" s="11"/>
    </row>
    <row r="5021" spans="4:4" x14ac:dyDescent="0.2">
      <c r="D5021" s="11"/>
    </row>
    <row r="5022" spans="4:4" x14ac:dyDescent="0.2">
      <c r="D5022" s="11"/>
    </row>
    <row r="5023" spans="4:4" x14ac:dyDescent="0.2">
      <c r="D5023" s="11"/>
    </row>
    <row r="5024" spans="4:4" x14ac:dyDescent="0.2">
      <c r="D5024" s="11"/>
    </row>
    <row r="5025" spans="4:4" x14ac:dyDescent="0.2">
      <c r="D5025" s="11"/>
    </row>
    <row r="5026" spans="4:4" x14ac:dyDescent="0.2">
      <c r="D5026" s="11"/>
    </row>
    <row r="5027" spans="4:4" x14ac:dyDescent="0.2">
      <c r="D5027" s="11"/>
    </row>
    <row r="5028" spans="4:4" x14ac:dyDescent="0.2">
      <c r="D5028" s="11"/>
    </row>
    <row r="5029" spans="4:4" x14ac:dyDescent="0.2">
      <c r="D5029" s="11"/>
    </row>
    <row r="5030" spans="4:4" x14ac:dyDescent="0.2">
      <c r="D5030" s="11"/>
    </row>
    <row r="5031" spans="4:4" x14ac:dyDescent="0.2">
      <c r="D5031" s="11"/>
    </row>
    <row r="5032" spans="4:4" x14ac:dyDescent="0.2">
      <c r="D5032" s="11"/>
    </row>
    <row r="5033" spans="4:4" x14ac:dyDescent="0.2">
      <c r="D5033" s="11"/>
    </row>
    <row r="5034" spans="4:4" x14ac:dyDescent="0.2">
      <c r="D5034" s="11"/>
    </row>
    <row r="5035" spans="4:4" x14ac:dyDescent="0.2">
      <c r="D5035" s="11"/>
    </row>
    <row r="5036" spans="4:4" x14ac:dyDescent="0.2">
      <c r="D5036" s="11"/>
    </row>
    <row r="5037" spans="4:4" x14ac:dyDescent="0.2">
      <c r="D5037" s="11"/>
    </row>
    <row r="5038" spans="4:4" x14ac:dyDescent="0.2">
      <c r="D5038" s="11"/>
    </row>
    <row r="5039" spans="4:4" x14ac:dyDescent="0.2">
      <c r="D5039" s="11"/>
    </row>
    <row r="5040" spans="4:4" x14ac:dyDescent="0.2">
      <c r="D5040" s="11"/>
    </row>
    <row r="5041" spans="4:4" x14ac:dyDescent="0.2">
      <c r="D5041" s="11"/>
    </row>
    <row r="5042" spans="4:4" x14ac:dyDescent="0.2">
      <c r="D5042" s="11"/>
    </row>
    <row r="5043" spans="4:4" x14ac:dyDescent="0.2">
      <c r="D5043" s="11"/>
    </row>
    <row r="5044" spans="4:4" x14ac:dyDescent="0.2">
      <c r="D5044" s="11"/>
    </row>
    <row r="5045" spans="4:4" x14ac:dyDescent="0.2">
      <c r="D5045" s="11"/>
    </row>
    <row r="5046" spans="4:4" x14ac:dyDescent="0.2">
      <c r="D5046" s="11"/>
    </row>
    <row r="5047" spans="4:4" x14ac:dyDescent="0.2">
      <c r="D5047" s="11"/>
    </row>
    <row r="5048" spans="4:4" x14ac:dyDescent="0.2">
      <c r="D5048" s="11"/>
    </row>
    <row r="5049" spans="4:4" x14ac:dyDescent="0.2">
      <c r="D5049" s="11"/>
    </row>
    <row r="5050" spans="4:4" x14ac:dyDescent="0.2">
      <c r="D5050" s="11"/>
    </row>
    <row r="5051" spans="4:4" x14ac:dyDescent="0.2">
      <c r="D5051" s="11"/>
    </row>
    <row r="5052" spans="4:4" x14ac:dyDescent="0.2">
      <c r="D5052" s="11"/>
    </row>
    <row r="5053" spans="4:4" x14ac:dyDescent="0.2">
      <c r="D5053" s="11"/>
    </row>
    <row r="5054" spans="4:4" x14ac:dyDescent="0.2">
      <c r="D5054" s="11"/>
    </row>
    <row r="5055" spans="4:4" x14ac:dyDescent="0.2">
      <c r="D5055" s="11"/>
    </row>
    <row r="5056" spans="4:4" x14ac:dyDescent="0.2">
      <c r="D5056" s="11"/>
    </row>
    <row r="5057" spans="4:4" x14ac:dyDescent="0.2">
      <c r="D5057" s="11"/>
    </row>
    <row r="5058" spans="4:4" x14ac:dyDescent="0.2">
      <c r="D5058" s="11"/>
    </row>
    <row r="5059" spans="4:4" x14ac:dyDescent="0.2">
      <c r="D5059" s="11"/>
    </row>
    <row r="5060" spans="4:4" x14ac:dyDescent="0.2">
      <c r="D5060" s="11"/>
    </row>
    <row r="5061" spans="4:4" x14ac:dyDescent="0.2">
      <c r="D5061" s="11"/>
    </row>
    <row r="5062" spans="4:4" x14ac:dyDescent="0.2">
      <c r="D5062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Hálová</dc:creator>
  <cp:lastModifiedBy>Pavel Caha</cp:lastModifiedBy>
  <cp:lastPrinted>2020-04-08T12:29:49Z</cp:lastPrinted>
  <dcterms:created xsi:type="dcterms:W3CDTF">2009-04-08T07:15:50Z</dcterms:created>
  <dcterms:modified xsi:type="dcterms:W3CDTF">2023-05-19T12:39:25Z</dcterms:modified>
</cp:coreProperties>
</file>